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4595" windowHeight="12135" tabRatio="908" activeTab="0"/>
  </bookViews>
  <sheets>
    <sheet name="Главная" sheetId="1" r:id="rId1"/>
    <sheet name="содержа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,13,14" sheetId="14" r:id="rId14"/>
    <sheet name="Тарифные ставки" sheetId="15" r:id="rId15"/>
  </sheets>
  <externalReferences>
    <externalReference r:id="rId18"/>
  </externalReferences>
  <definedNames>
    <definedName name="_xlnm._FilterDatabase" localSheetId="11" hidden="1">'10'!$I$1:$I$311</definedName>
    <definedName name="_xlnm._FilterDatabase" localSheetId="13" hidden="1">'12,13,14'!$B$1:$B$160</definedName>
    <definedName name="_xlnm._FilterDatabase" localSheetId="4" hidden="1">'3'!$A$4:$I$64</definedName>
    <definedName name="_xlnm._FilterDatabase" localSheetId="5" hidden="1">'4'!$A$33:$J$61</definedName>
    <definedName name="_xlnm._FilterDatabase" localSheetId="6" hidden="1">'5'!$A$56:$J$259</definedName>
    <definedName name="_xlnm._FilterDatabase" localSheetId="7" hidden="1">'6'!$A$183:$J$242</definedName>
    <definedName name="_xlnm._FilterDatabase" localSheetId="10" hidden="1">'9'!$A$84:$K$134</definedName>
    <definedName name="_xlnm.Print_Area" localSheetId="2">'1'!$A$1:$J$22</definedName>
    <definedName name="_xlnm.Print_Area" localSheetId="11">'10'!$A$1:$J$311</definedName>
    <definedName name="_xlnm.Print_Area" localSheetId="12">'11'!$A$1:$J$100</definedName>
    <definedName name="_xlnm.Print_Area" localSheetId="13">'12,13,14'!$A$1:$J$28</definedName>
    <definedName name="_xlnm.Print_Area" localSheetId="3">'2'!$A$1:$J$358</definedName>
    <definedName name="_xlnm.Print_Area" localSheetId="4">'3'!$A$1:$J$64</definedName>
    <definedName name="_xlnm.Print_Area" localSheetId="5">'4'!$A$1:$J$57</definedName>
    <definedName name="_xlnm.Print_Area" localSheetId="6">'5'!$A$1:$J$259</definedName>
    <definedName name="_xlnm.Print_Area" localSheetId="7">'6'!$A$1:$J$242</definedName>
    <definedName name="_xlnm.Print_Area" localSheetId="8">'7'!$A$1:$J$178</definedName>
    <definedName name="_xlnm.Print_Area" localSheetId="9">'8'!$A$1:$J$100</definedName>
    <definedName name="_xlnm.Print_Area" localSheetId="10">'9'!$A$1:$K$134</definedName>
    <definedName name="_xlnm.Print_Area" localSheetId="0">'Главная'!$A$1:$J$51</definedName>
    <definedName name="_xlnm.Print_Area" localSheetId="1">'содержание'!$A$1:$O$61</definedName>
  </definedNames>
  <calcPr fullCalcOnLoad="1" refMode="R1C1"/>
</workbook>
</file>

<file path=xl/sharedStrings.xml><?xml version="1.0" encoding="utf-8"?>
<sst xmlns="http://schemas.openxmlformats.org/spreadsheetml/2006/main" count="5545" uniqueCount="2511">
  <si>
    <t xml:space="preserve">Глава 4. ДИАГНОСТИКА ТЕХНИЧЕСКОГО СОСТОЯНИЯ РЕЗЕРВУАРНЫХ УСТАНОВОК СУГ 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</si>
  <si>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</si>
  <si>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</si>
  <si>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</si>
  <si>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</si>
  <si>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</si>
  <si>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</si>
  <si>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</si>
  <si>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</si>
  <si>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</si>
  <si>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</si>
  <si>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</si>
  <si>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</si>
  <si>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</si>
  <si>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1.1.47</t>
  </si>
  <si>
    <t xml:space="preserve">Замена участка внутридомового газопровода длиной до одного метра диаметром </t>
  </si>
  <si>
    <t>15 мм</t>
  </si>
  <si>
    <t>учаток</t>
  </si>
  <si>
    <t>То же, на каждый дополнительный один метр газопровода диаметром</t>
  </si>
  <si>
    <t>10.2.211</t>
  </si>
  <si>
    <t>Замена  прокладки  на  запальнике</t>
  </si>
  <si>
    <t>Набивка сальника терморегулятора</t>
  </si>
  <si>
    <t>10.2.174</t>
  </si>
  <si>
    <t>Настройка  терморегулятора  с регулированием  температуры</t>
  </si>
  <si>
    <t>10.2.175</t>
  </si>
  <si>
    <t>Ремонт  терморегулятора   с заменой  пружины  (скобы  или  шурупа)  на  регулировочном  винте</t>
  </si>
  <si>
    <t>10.2.176</t>
  </si>
  <si>
    <t>Ремонт  терморегулятора   (замена  прокладок)</t>
  </si>
  <si>
    <t>10.2.177</t>
  </si>
  <si>
    <t>Ремонт автоматики  горелок  АГВ,АОГВ</t>
  </si>
  <si>
    <t>Прочистка  отверстий  горелки и удлинителя  тяги</t>
  </si>
  <si>
    <t>Прочистка ,калибровка  сопла  горелки</t>
  </si>
  <si>
    <t>Устранение  засора в  подводке к запальнику</t>
  </si>
  <si>
    <t>Чистка контактов ЭМК с пайкой катушки</t>
  </si>
  <si>
    <t>Перепайка  контактов ЭМК</t>
  </si>
  <si>
    <t>Перепайка  датчика тяги  к импульсной  трубке</t>
  </si>
  <si>
    <t>Чистка  форсунки  запальника</t>
  </si>
  <si>
    <t>Чистка газового фильтра</t>
  </si>
  <si>
    <t>Регулировка  клапана  экономного  расходования</t>
  </si>
  <si>
    <t xml:space="preserve">Техническое обслуживание отключающихся устройств и линзовых компенсаторов на подземном газопроводе при глубине колодца до 1 -3 м и диаметре до 151- 300 мм </t>
  </si>
  <si>
    <t>5.1.27</t>
  </si>
  <si>
    <t>То же, при диаметре задвижки 301-500</t>
  </si>
  <si>
    <t>5.1.28</t>
  </si>
  <si>
    <t>То же, при диаметре задвижки 501-700</t>
  </si>
  <si>
    <t>Техническое обслуживание  задвижки на фасадном наружном газопроводе диаметром до 50 мм</t>
  </si>
  <si>
    <t>колодец</t>
  </si>
  <si>
    <t>Выдача копий архивных документов населению</t>
  </si>
  <si>
    <t>слесарь спс 5 р</t>
  </si>
  <si>
    <t>инженер-энергетик</t>
  </si>
  <si>
    <t>слесарь спс 5р</t>
  </si>
  <si>
    <t>слесарь спс  4 р</t>
  </si>
  <si>
    <t>слесарь свдго4р.</t>
  </si>
  <si>
    <t>слесарь свдго 4р.</t>
  </si>
  <si>
    <t>мастер АДС</t>
  </si>
  <si>
    <t>Ремонт регулятора давления газа типа РДГК-6 и РДГК-10 при  замене мембраны</t>
  </si>
  <si>
    <t>7.3.30</t>
  </si>
  <si>
    <t>Ремонт регулятора давления газа типа РДГД-20, РДНК-400 и РДСК-50 при  замене мембраны</t>
  </si>
  <si>
    <t>7.3.31</t>
  </si>
  <si>
    <t>Проверка одной нити газопровода в ГРП на прочность после замены оборудования )при двух нитях газопровода применять коэф. 1,7; при трех нитях- 2,5)</t>
  </si>
  <si>
    <t>7.3.32</t>
  </si>
  <si>
    <t>Проверка одной нити газопровода в ГРП на герметичность  после замены оборудования (при двух нитях газопровода применять коэф. 1,7; при трех нитях- 2,5)</t>
  </si>
  <si>
    <t>7.3.33</t>
  </si>
  <si>
    <t>Отключение (консервация) оборудования ГРП</t>
  </si>
  <si>
    <t>7.3.34</t>
  </si>
  <si>
    <t>Пуск (расконсервация) ГРП после отключения</t>
  </si>
  <si>
    <t>7.3.35</t>
  </si>
  <si>
    <t>Отключение (консервация) оборудования ШРП (при работе в зимних условиях в п. 7.3.35 и 7.3.36 применить коэф. 1,2)</t>
  </si>
  <si>
    <t>7.3.36</t>
  </si>
  <si>
    <t>Пуск (расконсервация) ШРП после отключения</t>
  </si>
  <si>
    <t>Ремонт втулки регулятора РДГК-10</t>
  </si>
  <si>
    <t>Глава 2.ТЕХНИЧЕСКОЕ ОБСЛУЖИВАНИЕ И ТЕКУЩИЙ РЕМОНТ</t>
  </si>
  <si>
    <t>Глава 3. КАПИТАЛЬНЫЙ РЕМОНТ</t>
  </si>
  <si>
    <t>7.3.37.</t>
  </si>
  <si>
    <t>Замена пружинных марометров в ГРП</t>
  </si>
  <si>
    <t>манометр</t>
  </si>
  <si>
    <t>объект</t>
  </si>
  <si>
    <t>счетчик</t>
  </si>
  <si>
    <t>ед. изм</t>
  </si>
  <si>
    <t>Трудозатраты  на ед.изм., чел.ч.</t>
  </si>
  <si>
    <t>Фонд оплаты  труда ,руб.</t>
  </si>
  <si>
    <t>Себестоимость</t>
  </si>
  <si>
    <t>Состав исполнителей</t>
  </si>
  <si>
    <t>Наименование работ и  газового оборудования</t>
  </si>
  <si>
    <t>№ поз.          пр-та</t>
  </si>
  <si>
    <t>Цена для предприятий                  (с НДС)</t>
  </si>
  <si>
    <t>Часовой  ФОТ</t>
  </si>
  <si>
    <t>6.3.45</t>
  </si>
  <si>
    <t>6.3.46</t>
  </si>
  <si>
    <t>6.3.47</t>
  </si>
  <si>
    <t>Окраска шкафа</t>
  </si>
  <si>
    <t>Устранение повреждений  шкафа поляризированной дренажной установки</t>
  </si>
  <si>
    <t>стенка шкафа</t>
  </si>
  <si>
    <t>Устранение повреждений  шкафа усиленной дренажной установки</t>
  </si>
  <si>
    <t>Ремонт сглаживающего дросселя ЭЗУ на сложных электронных схемах</t>
  </si>
  <si>
    <t>Ремонт сглаживающего дросселя неавтоматической катодной станции или поляризованного дренажа</t>
  </si>
  <si>
    <t>Ремонт контактного устройства на анодном заземлении в ковере или колодце</t>
  </si>
  <si>
    <t>контактное устройство</t>
  </si>
  <si>
    <t>11.1.94</t>
  </si>
  <si>
    <t>11.1.117</t>
  </si>
  <si>
    <t>11.1.118</t>
  </si>
  <si>
    <t>Технический надзор за строительством надземного газопровода на опорах  (На каждые последующие 25 м применить коэф. 0,6)</t>
  </si>
  <si>
    <t xml:space="preserve">Проверка технического состояния контрольного проводника  </t>
  </si>
  <si>
    <t>конт. пров.</t>
  </si>
  <si>
    <t>5.1.9</t>
  </si>
  <si>
    <t xml:space="preserve">Проверка технического состояния гидрозатвора  </t>
  </si>
  <si>
    <t>гидрозат-р</t>
  </si>
  <si>
    <t>5.1.10</t>
  </si>
  <si>
    <t xml:space="preserve">Проверка технического состояния конденсатосборника без удаления конденсата  </t>
  </si>
  <si>
    <t>5.1.11</t>
  </si>
  <si>
    <t>5.1.12</t>
  </si>
  <si>
    <t>То же, с удалением конденсата ручным насосом</t>
  </si>
  <si>
    <t>5.1.13</t>
  </si>
  <si>
    <t>Оформление результатов обхода трассы газопровода</t>
  </si>
  <si>
    <t>рапорт</t>
  </si>
  <si>
    <t>5.1.14</t>
  </si>
  <si>
    <t>знак</t>
  </si>
  <si>
    <t>5.1.15</t>
  </si>
  <si>
    <t>решетка</t>
  </si>
  <si>
    <t>11.1.13</t>
  </si>
  <si>
    <t>Изготовление газоподводящей трубки к горелке плиты</t>
  </si>
  <si>
    <t xml:space="preserve"> Заделка концов футляра</t>
  </si>
  <si>
    <t>5.3.45</t>
  </si>
  <si>
    <t xml:space="preserve"> Замена футляра на подземном газопроводе с заливкой битумом концов футляра при диаметре до 200 мм</t>
  </si>
  <si>
    <t>5.3.46</t>
  </si>
  <si>
    <t xml:space="preserve"> Замена вертикального футляра на надземном газопроводе с заливкой битумом верхнего конца футляра</t>
  </si>
  <si>
    <t>5.3.47</t>
  </si>
  <si>
    <t>пуск</t>
  </si>
  <si>
    <t>5.3.48</t>
  </si>
  <si>
    <t>Пуск газа в газопроводы наружных сетей после выполнения ремонтных работ при длине газопровода до 50 м и диаметре 101 -200 мм</t>
  </si>
  <si>
    <t>5.3.49</t>
  </si>
  <si>
    <t xml:space="preserve">Продувка наружного газопровода при диаметре газопровода до 100 мм  </t>
  </si>
  <si>
    <t>101 - 300 мм</t>
  </si>
  <si>
    <t xml:space="preserve">301 -500 мм </t>
  </si>
  <si>
    <t>5.3.53</t>
  </si>
  <si>
    <t>Ремонт опор под надземный газопровод (При работе на высоте с приставной лестницы примен. коэф.1,2)</t>
  </si>
  <si>
    <t>5.3.54</t>
  </si>
  <si>
    <t xml:space="preserve"> То же, со сваркой</t>
  </si>
  <si>
    <t>5.3.55</t>
  </si>
  <si>
    <t>Бетонирование опор под надземный газопровод</t>
  </si>
  <si>
    <t>5.3.56</t>
  </si>
  <si>
    <t xml:space="preserve"> Пристрелка кронштейнов для фасадных газопроводов</t>
  </si>
  <si>
    <t>5.3.57</t>
  </si>
  <si>
    <t>откл. устр.</t>
  </si>
  <si>
    <t>5.3.58</t>
  </si>
  <si>
    <t>отключение</t>
  </si>
  <si>
    <t>5.3.59</t>
  </si>
  <si>
    <t>Отключение подземного тупикового газопровода при наличии гидрозатвора</t>
  </si>
  <si>
    <t>5.3.60</t>
  </si>
  <si>
    <t xml:space="preserve"> Отключение подземного тупикового газопровода при наличии задвижки с установкой заглушки при диаметре задвижки до 100 мм</t>
  </si>
  <si>
    <t>5.3.61</t>
  </si>
  <si>
    <t>Отключение подземного закольцованного газопровода при диаметре задвижки до 100 мм</t>
  </si>
  <si>
    <t>св.100 мм</t>
  </si>
  <si>
    <t>5.3.62</t>
  </si>
  <si>
    <t xml:space="preserve"> Установка или снятие заглушки на газопроводе - вводе</t>
  </si>
  <si>
    <t>заглушка</t>
  </si>
  <si>
    <t>5.3.63</t>
  </si>
  <si>
    <t xml:space="preserve"> Установка или снятие заглушки в колодце</t>
  </si>
  <si>
    <t>5.3.64</t>
  </si>
  <si>
    <t xml:space="preserve"> Сверление отверстия в крышках газовых колодцев</t>
  </si>
  <si>
    <t>5.3.65</t>
  </si>
  <si>
    <t>2.1.10.</t>
  </si>
  <si>
    <t>место</t>
  </si>
  <si>
    <t>2.1.11.</t>
  </si>
  <si>
    <t>10 кг</t>
  </si>
  <si>
    <t>Глава 2. СТРОИТЕЛЬНО-МОНТАЖНЫЕ РАБОТЫ НА ГАЗОПРОВОДЕ</t>
  </si>
  <si>
    <t>2.2.1.</t>
  </si>
  <si>
    <t>2.2.2.</t>
  </si>
  <si>
    <t>2.2.3.</t>
  </si>
  <si>
    <t>2.2.4.</t>
  </si>
  <si>
    <t>фланец</t>
  </si>
  <si>
    <t>2.2.5.</t>
  </si>
  <si>
    <t>комплект</t>
  </si>
  <si>
    <t>фланцев</t>
  </si>
  <si>
    <t>2.2.6.</t>
  </si>
  <si>
    <t>футляр</t>
  </si>
  <si>
    <t>2.2.7.</t>
  </si>
  <si>
    <t>2.2.8.</t>
  </si>
  <si>
    <t>2.2.9.</t>
  </si>
  <si>
    <t>2.2.10.</t>
  </si>
  <si>
    <t>2.2.11.</t>
  </si>
  <si>
    <t>м</t>
  </si>
  <si>
    <t>2.2.12.</t>
  </si>
  <si>
    <t>задвижка</t>
  </si>
  <si>
    <t>2.2.13.</t>
  </si>
  <si>
    <t>2.2.14.</t>
  </si>
  <si>
    <t>Установка контрольной трубки с ковером</t>
  </si>
  <si>
    <t>трубка</t>
  </si>
  <si>
    <t>2.2.15.</t>
  </si>
  <si>
    <t>проводник</t>
  </si>
  <si>
    <t>2.2.16.</t>
  </si>
  <si>
    <t>конд.сб.</t>
  </si>
  <si>
    <t>2.2.17.</t>
  </si>
  <si>
    <t>шт.</t>
  </si>
  <si>
    <t>2.2.18.</t>
  </si>
  <si>
    <t>регулятор</t>
  </si>
  <si>
    <t>2.2.19.</t>
  </si>
  <si>
    <t>2.2.20.</t>
  </si>
  <si>
    <t>10 м</t>
  </si>
  <si>
    <t>2.2.21.</t>
  </si>
  <si>
    <t>То же, при четырех редукционных головках</t>
  </si>
  <si>
    <t>8.1.13</t>
  </si>
  <si>
    <t>Техническое обслуживание редукционной головки резервуарной установки</t>
  </si>
  <si>
    <t>редукцион.</t>
  </si>
  <si>
    <t>головка</t>
  </si>
  <si>
    <t>8.1.14</t>
  </si>
  <si>
    <t>Техническое обслуживание  испарителя типа РЭП</t>
  </si>
  <si>
    <t>испаритель</t>
  </si>
  <si>
    <t>8.1.15</t>
  </si>
  <si>
    <t>Техническое обслуживание  испарителя типа ИГПО</t>
  </si>
  <si>
    <t>8.1.16</t>
  </si>
  <si>
    <t>Проверка технического состояния  электрической части испарителей типа РЭП, ИП</t>
  </si>
  <si>
    <t>8.117</t>
  </si>
  <si>
    <t>Техническое освидетельствование резервуаров при объеме сосуда 2,5 м3</t>
  </si>
  <si>
    <t>сосуд</t>
  </si>
  <si>
    <t>8.1.18</t>
  </si>
  <si>
    <t>Техническое освидетельствование резервуаров при объеме сосуда 5,0 м3</t>
  </si>
  <si>
    <t>8.1.19</t>
  </si>
  <si>
    <t>Удаление  неиспарившихся остатков из резервуарной емкости</t>
  </si>
  <si>
    <t>1м3 газа</t>
  </si>
  <si>
    <t>8.1.20</t>
  </si>
  <si>
    <t xml:space="preserve">Слив сжижаемого газа в резервуарную установку </t>
  </si>
  <si>
    <t>8.1.21</t>
  </si>
  <si>
    <t>Техническое освидетельствование баллонов емкостью 5 л</t>
  </si>
  <si>
    <t>баллон</t>
  </si>
  <si>
    <t>8.1.22</t>
  </si>
  <si>
    <t>То же, емкостью 27 и 55 л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</si>
  <si>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</si>
  <si>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Техническое обслуживания (ревизия) кранов в котельной при диаметре до 40 мм</t>
  </si>
  <si>
    <t>Проверка исправности изолирующего фланцевого (муфтового) соединения на вводах газопровода выдачей заключения</t>
  </si>
  <si>
    <t>Технический осмотр автоматической станции катодной защиты на сложных электронных схемах (в состав работ включено измерение разности потенциалов"сооружение-земля" в точке дренирования, при большом количестве измерений в пп. 5.1.31-5.1.33 использовать цены п. 5.1.3.)</t>
  </si>
  <si>
    <t>Технический осмотр блока современной защиты</t>
  </si>
  <si>
    <t xml:space="preserve">Проверка эффективности действия катодной или дренажной установки на сложных электронных схемах при измерении разности потенциалов                                                                                                                                                                                                      </t>
  </si>
  <si>
    <t>То же, общественного (административного) здания при установке бытовых газовых приборов</t>
  </si>
  <si>
    <t>Монтаж креплений под газопровод диаметром до 100 мм для прокладки под стены здания</t>
  </si>
  <si>
    <t>2.2.35</t>
  </si>
  <si>
    <t>2.2.37</t>
  </si>
  <si>
    <t>2.2.39</t>
  </si>
  <si>
    <t>2.2.40</t>
  </si>
  <si>
    <t>2.4.3</t>
  </si>
  <si>
    <t>2.4.4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</si>
  <si>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</si>
  <si>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</si>
  <si>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</si>
  <si>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</si>
  <si>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</si>
  <si>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</si>
  <si>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</si>
  <si>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</si>
  <si>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</si>
  <si>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</si>
  <si>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</si>
  <si>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 xml:space="preserve"> кронштейн</t>
  </si>
  <si>
    <t>Периодическая регулировка (наладка) режима работы автоматической ЭЗУ на сложных электронных схемах (в состав работ включено измерение разности потенциалов "сооружение-земля" в точке дренирования, при большом количестве измерений п.. 5.1.41.-5.1.43 исследовать п.5.1.3.)</t>
  </si>
  <si>
    <t>Периодическая регулировка (наладка) режима работы автоматической ЭЗУ на электронных схемах средней сложности</t>
  </si>
  <si>
    <t xml:space="preserve">Периодическая регулировка (наладка) режима работы автоматической ЭЗУ </t>
  </si>
  <si>
    <t>Проверка, регулировка и испытание под максимальной нагрузкой станции катодной защиты с неуправляемыми выпрямителями</t>
  </si>
  <si>
    <t>Техническое обслуживаниие расходомеров с переходом на байпас</t>
  </si>
  <si>
    <t>То же, без автоматики (на каждый последующий котел  применить коэф. 0,22)</t>
  </si>
  <si>
    <t>Текущий ремонт газового оборудования АВМ или АБЗ</t>
  </si>
  <si>
    <t>агрегат</t>
  </si>
  <si>
    <t xml:space="preserve">Ремонт, протирка и опресовка задвижек диаметром до 80 мм </t>
  </si>
  <si>
    <t xml:space="preserve">Устранение утечки газа на резьбовом соединении газо-проводов в котельной при диаметре газопровода до 20 мм </t>
  </si>
  <si>
    <t>21-40 мм</t>
  </si>
  <si>
    <t>41-60 мм</t>
  </si>
  <si>
    <t>Замена пружины электромагнитного клапана</t>
  </si>
  <si>
    <t>Прочистка отверстий инжекционных горелок чугунных секционных котлов</t>
  </si>
  <si>
    <t xml:space="preserve">Замена прокладки на газопроводе  в котельной при диаметре </t>
  </si>
  <si>
    <t>до 50 мм</t>
  </si>
  <si>
    <t>101-150 мм</t>
  </si>
  <si>
    <t>151-200 мм</t>
  </si>
  <si>
    <t xml:space="preserve">Замена задвижки крана на газопроводе  в котельной при диаметре </t>
  </si>
  <si>
    <t>Очистка фильтра газового счетчика</t>
  </si>
  <si>
    <t xml:space="preserve">Демонтаж ротационного или турбинного газового счетчика с установкой перемычки </t>
  </si>
  <si>
    <t>Замена газового счетчика типа: РГ-40</t>
  </si>
  <si>
    <t>РГ-100 (СГ-100)</t>
  </si>
  <si>
    <t>ст.мастер участка</t>
  </si>
  <si>
    <t>5.1.36</t>
  </si>
  <si>
    <t xml:space="preserve"> Наблюдение со дня выдачи уведомления за производством земляных работ, проводимых рядом с существующим газопроводом</t>
  </si>
  <si>
    <t>обход</t>
  </si>
  <si>
    <t>5.1.37</t>
  </si>
  <si>
    <t>разреш-е</t>
  </si>
  <si>
    <t>5.1.38</t>
  </si>
  <si>
    <t>Визуальный и измерительный контроль</t>
  </si>
  <si>
    <t>УЗК толщины стенок резервуара</t>
  </si>
  <si>
    <t>Акустико-эмиссионный (АЭ) контроль резервуаров с испытанием на герметиченость и прочность</t>
  </si>
  <si>
    <t>Радиографический контроль мест предпологаемых дифектов, выявленных АЭ-методом</t>
  </si>
  <si>
    <t>ЭКСПЛУАТАЦИЮ ОБЪЕКТОВ ГАЗОРАСПРЕДЕЛИТЕЛЬНОЙ СИСТЕМЫ</t>
  </si>
  <si>
    <t>3.1.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</si>
  <si>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</si>
  <si>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</si>
  <si>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</si>
  <si>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</si>
  <si>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</si>
  <si>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</si>
  <si>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</si>
  <si>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</si>
  <si>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</si>
  <si>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</si>
  <si>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</si>
  <si>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</si>
  <si>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</si>
  <si>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</si>
  <si>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</si>
  <si>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</si>
  <si>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Установить заглушки на вводе в котельную при диаметре газопровода до 100 мм</t>
  </si>
  <si>
    <t xml:space="preserve">КОТЕЛЬНЫХ, ОБЩЕСТВЕННЫХ ЗДАНИЙ ПРОИЗВОДСТВЕННОГО НАЗНАЧЕНИЯ </t>
  </si>
  <si>
    <t>9.1.1.</t>
  </si>
  <si>
    <t>9.1.2.</t>
  </si>
  <si>
    <t>Отключение (консервация) на летний период газового оборудования котельной с котлом малой мощности  (до 1 Гкал/ч) с автоматикой (на каждый последующий котел применять коэф. 0,33)</t>
  </si>
  <si>
    <t>Отключение (консервация) на летний период газового оборудования котельной с котлом малой мощности  (до 1 Гкал/ч) без автоматики (на каждый последующий котел применить коэф. 0,28)</t>
  </si>
  <si>
    <t>12.1.</t>
  </si>
  <si>
    <t>Определение состава природного газа</t>
  </si>
  <si>
    <t>анализ</t>
  </si>
  <si>
    <t>Определение состава сжиженного газа</t>
  </si>
  <si>
    <t>12.2</t>
  </si>
  <si>
    <t>Переключение прибора по учету газа с летнего периода на зимнии и наборот</t>
  </si>
  <si>
    <t>Включение прибора учета газа после переодической проверки</t>
  </si>
  <si>
    <t>Инструктаж лиц, ответственных за безопасную эксплуатацию бытовых газовых приборов, установленных в общественных зданиях</t>
  </si>
  <si>
    <t>чел</t>
  </si>
  <si>
    <t>То же, при обучении в группе (4 - 5 чел)</t>
  </si>
  <si>
    <t>9.1.14.</t>
  </si>
  <si>
    <t>9.1.15.</t>
  </si>
  <si>
    <t>Техническое обслуживание котельной с котлом малой мощности с автоматикой (на каждый последующий котел  применить коэф. 0,6)</t>
  </si>
  <si>
    <t>Техническое обслуживание котельной с котлом малой мощности без автоматики (на каждый последующий котел  применить коэф. 0,5)</t>
  </si>
  <si>
    <t xml:space="preserve">Раздел 8. РЕЗЕРВУАРНЫЕ, ИСПАРИТЕЛЬНЫЕ И ГРУППОВЫЕ БАЛЛОННЫЕ УСТАНОВКИ СУГ </t>
  </si>
  <si>
    <t>Глава 1. ТЕХНИЧЕСКОЕ ОБСЛУЖИВАНИЕ РЕЗЕРВУАРНЫХ И ГАЗОБАЛЛОННЫХ</t>
  </si>
  <si>
    <t>УСТАНОВОК. ТЕХНИЧЕСКОЕ ОСВИДЕТЕЛЬСТВОВАНИЕ ЕМКОСТЕЙ</t>
  </si>
  <si>
    <t>УСТАНОВОК</t>
  </si>
  <si>
    <t>9.1.27.</t>
  </si>
  <si>
    <t>Пуск в эксплуатацию (расконсервация) котельной с котлом средней мощности без автоматикой  после отключения на летний период (на каждый последующий аппарат применить коэф. 0,4)</t>
  </si>
  <si>
    <t>9.1.12.</t>
  </si>
  <si>
    <t>9.1.13.</t>
  </si>
  <si>
    <t>То же,  при замене пружины</t>
  </si>
  <si>
    <t>8.2.6</t>
  </si>
  <si>
    <t>8.2.7</t>
  </si>
  <si>
    <t>Замена прокладок уплотнителя клапана регулятора давления газа типа РДГ-6, РДГ-8 и др.</t>
  </si>
  <si>
    <t>8.2.8</t>
  </si>
  <si>
    <t>Замена наполнительного вентиля редукционной головки</t>
  </si>
  <si>
    <t>вентиль</t>
  </si>
  <si>
    <t>8.2.9</t>
  </si>
  <si>
    <t>Замена  вентиля  неиспарившихся остатков редукционной головки</t>
  </si>
  <si>
    <t>8.2.10</t>
  </si>
  <si>
    <t>Замена  вентиля  газовой фрезы редукционной головки резервуара</t>
  </si>
  <si>
    <t>8.2.11</t>
  </si>
  <si>
    <t>Замена   углового вентиля редукционной головки резервуара</t>
  </si>
  <si>
    <t>8.2.12</t>
  </si>
  <si>
    <t>Замена  уровне мерного вентиля редукционной головки резервуара</t>
  </si>
  <si>
    <t>8.2.13</t>
  </si>
  <si>
    <t>Замена вентиля паровой фрезы  редукционной головки резервуара</t>
  </si>
  <si>
    <t>8.2.14</t>
  </si>
  <si>
    <t>Замена задвижки на газопроводе высокого (среднего) давления с диаметром газопровода до 100 мм</t>
  </si>
  <si>
    <t>5.3.14</t>
  </si>
  <si>
    <t>Замена задвижки на газопроводе низкого давления с диаметром газопровода до 100 мм</t>
  </si>
  <si>
    <t>5.3.15</t>
  </si>
  <si>
    <t>8.2.27</t>
  </si>
  <si>
    <t>То же, при количестве балонов в шкафу 7-8</t>
  </si>
  <si>
    <t>8.2.28</t>
  </si>
  <si>
    <t>То же, при количестве балонов в шкафу 9-10</t>
  </si>
  <si>
    <t>8.2.29</t>
  </si>
  <si>
    <t>Гидравлическое испытание баллонов сжиженного газа</t>
  </si>
  <si>
    <t>с использованием механического привода емкостью 50 л</t>
  </si>
  <si>
    <t>27 л</t>
  </si>
  <si>
    <t>5 л</t>
  </si>
  <si>
    <t>(при использовании баллонов вручную применить коэф. 1,6)</t>
  </si>
  <si>
    <t>8.2.30</t>
  </si>
  <si>
    <t>Ремонт вентеля баллона сжиженного газа</t>
  </si>
  <si>
    <t>вентель</t>
  </si>
  <si>
    <t>8.2.31</t>
  </si>
  <si>
    <t>контрольная трубка</t>
  </si>
  <si>
    <t>5.1.8</t>
  </si>
  <si>
    <t xml:space="preserve">ст.мастер уч-ка </t>
  </si>
  <si>
    <t>6.1.42.</t>
  </si>
  <si>
    <t>6.1.43.</t>
  </si>
  <si>
    <t>6.1.44.</t>
  </si>
  <si>
    <t>6.1.45.</t>
  </si>
  <si>
    <t>6.1.46.</t>
  </si>
  <si>
    <t>6.1.47.</t>
  </si>
  <si>
    <t>6.1.48.</t>
  </si>
  <si>
    <t>6.1.49.</t>
  </si>
  <si>
    <t>То же, при длине электродов и труб до 6 м</t>
  </si>
  <si>
    <t>6.1.50.</t>
  </si>
  <si>
    <t>6.1.51.</t>
  </si>
  <si>
    <t>6.1.52.</t>
  </si>
  <si>
    <t>То же, при длине  электродов и труб  до 6 м</t>
  </si>
  <si>
    <t>То же, при длине электродов до 6 м и труб до 3 м</t>
  </si>
  <si>
    <t>6.1.53.</t>
  </si>
  <si>
    <t>То же, при длине электродов до 12 м и труб до 6 м</t>
  </si>
  <si>
    <t>6.1.54.</t>
  </si>
  <si>
    <t>мастер свдго</t>
  </si>
  <si>
    <t>Неразрушающий онтроль отбракованных сваных соединений АЭ-методом контроля, радиографическим методом контроля</t>
  </si>
  <si>
    <t>Анализ технического состояния ГРП, составление заключения экспертизы промышленной безопсности</t>
  </si>
  <si>
    <t>7.4.11.</t>
  </si>
  <si>
    <t>7.4.12.</t>
  </si>
  <si>
    <t>7.4.13.</t>
  </si>
  <si>
    <t>7.4.14.</t>
  </si>
  <si>
    <t>7.4.15.</t>
  </si>
  <si>
    <t>7.4.16.</t>
  </si>
  <si>
    <t>Анализ технического состояния ШРП, составление заключения экспертизы промышленной безопсности</t>
  </si>
  <si>
    <t>7.4.17.</t>
  </si>
  <si>
    <t>7.4.18.</t>
  </si>
  <si>
    <t>7.4.19.</t>
  </si>
  <si>
    <t>7.4.20.</t>
  </si>
  <si>
    <t xml:space="preserve">Глава 4. ДИАГНОСТИКА ТЕХНИЧЕСКОГО СОСТОЯНИЯ ГАЗОПРОВОДОВ  И ОБОРУДОВАНИЯ </t>
  </si>
  <si>
    <t>ГРП (ШРП)</t>
  </si>
  <si>
    <t>8.1.1</t>
  </si>
  <si>
    <t>8.1.2</t>
  </si>
  <si>
    <t>Техническое обслуживание групповой баллонной установки при двух баллонах в одной установке</t>
  </si>
  <si>
    <t>8.1.3</t>
  </si>
  <si>
    <t>То же, при количестве баллонов в одной установке 3-4</t>
  </si>
  <si>
    <t>8.1.4</t>
  </si>
  <si>
    <t>То же, при количестве баллонов в одной установке 5-6</t>
  </si>
  <si>
    <t>8.1.5</t>
  </si>
  <si>
    <t>То же, при количестве баллонов в одной установке 7-8</t>
  </si>
  <si>
    <t>8.1.6</t>
  </si>
  <si>
    <t>То же, при количестве баллонов в одной установке 9-10</t>
  </si>
  <si>
    <t>8.1.7</t>
  </si>
  <si>
    <t>Чистка сопел коллектора печной  горелки</t>
  </si>
  <si>
    <t>Очистка от сажи отопительной  печи</t>
  </si>
  <si>
    <t xml:space="preserve">Раздел 10.  ВНУТРЕННИЕ ГАЗОПРОВОДЫ И БЫТОВОЕ ГАЗОВОЕ ОБОРУДОВАНИЕ </t>
  </si>
  <si>
    <t xml:space="preserve">Глава 1. ТЕХНИЧЕСКОЕ ОБСЛУЖИВАНИЕ </t>
  </si>
  <si>
    <t>Определение геометрических параметров трубы в шурфах</t>
  </si>
  <si>
    <t>5.4.11.</t>
  </si>
  <si>
    <t>Определение состояния поверхности металла трубы</t>
  </si>
  <si>
    <t>5.4.12.</t>
  </si>
  <si>
    <t>5.4.13.</t>
  </si>
  <si>
    <t>Расчет остаточного ресурса металла труб</t>
  </si>
  <si>
    <t>5.4.14.</t>
  </si>
  <si>
    <t>Раздел 2. СТРОИТЕЛЬНО-МОНТАЖНЫЕ РАБОТЫ</t>
  </si>
  <si>
    <t xml:space="preserve">Раздел 3. ПУСКО-НАЛАДОЧНЫЕ РАБОТЫ, ПРИЕМКА И ВВОД В </t>
  </si>
  <si>
    <t>Раздел 4. ТЕХНИЧЕСКИЙ НАДЗОР ЗА СТРОИТЕЛЬСТВОМ</t>
  </si>
  <si>
    <t>на услуги газового хозяйства по техническому обслуживанию</t>
  </si>
  <si>
    <t>и ремонту газораспределительных систем.</t>
  </si>
  <si>
    <t>11.1.89</t>
  </si>
  <si>
    <t>Изготовление уплотнительного кольца ВБК-10</t>
  </si>
  <si>
    <t>упл. Кольцо</t>
  </si>
  <si>
    <t>11.1.90</t>
  </si>
  <si>
    <t>Изготовление штока вентеля ВБК-10</t>
  </si>
  <si>
    <t>11.1.91</t>
  </si>
  <si>
    <t>Изготовление шкафа для двух газовых балонов</t>
  </si>
  <si>
    <t xml:space="preserve">шкаф </t>
  </si>
  <si>
    <t>11.1.92</t>
  </si>
  <si>
    <t>11.1.93</t>
  </si>
  <si>
    <t>Плита газовая</t>
  </si>
  <si>
    <t>Ремонт коллектора газовой плиты</t>
  </si>
  <si>
    <t>11.1.36</t>
  </si>
  <si>
    <t>То же, при установке двух плит и двух отопительных аппаратов ( При установке   газового счетчика  применить коэф. 1,03; двух счетчиков применить коэф. 1,06))</t>
  </si>
  <si>
    <t>14.2</t>
  </si>
  <si>
    <t>Устранение повреждений шкафа  катодной установки с неуправляемым выпрямителем</t>
  </si>
  <si>
    <t>Устранение повреждений шкафа  катодной установки с управляемым выпрямителем</t>
  </si>
  <si>
    <t>Изготовление подставки из уголка</t>
  </si>
  <si>
    <t>подставка</t>
  </si>
  <si>
    <t>Изготовление коробки для отключающегося устройства</t>
  </si>
  <si>
    <t>коробка</t>
  </si>
  <si>
    <t>Изготовление кроссовок (жгутов) с разъемами для преобразователей станции катодной защиты</t>
  </si>
  <si>
    <t>жгут</t>
  </si>
  <si>
    <t>То же, для преобразователей дренажной установки</t>
  </si>
  <si>
    <t>панель</t>
  </si>
  <si>
    <t>Ремонт переключателя</t>
  </si>
  <si>
    <t>переключ.</t>
  </si>
  <si>
    <t>Измерение удельного электрического сопротивления грунта при расстоянии между точками до 200 м</t>
  </si>
  <si>
    <t>Измерение удельного электрического сопротивления грунта при расстоянии между точками от 200 м до 500 м</t>
  </si>
  <si>
    <t>Измерение продольного и поперечного градиента потенциала</t>
  </si>
  <si>
    <t>10.2.120</t>
  </si>
  <si>
    <t>10.2.121</t>
  </si>
  <si>
    <t>Глава 1. УСТАНОВКА (МОНТАЖ), ПУСК И НАЛАДКА СРЕДСТВ ЗАЩИТЫ</t>
  </si>
  <si>
    <t>6.1.1.</t>
  </si>
  <si>
    <t>2.2.30.</t>
  </si>
  <si>
    <t>2.2.31.</t>
  </si>
  <si>
    <t>2.2.32.</t>
  </si>
  <si>
    <t>Вскрытие асфальтового покрытия отбойным молотком</t>
  </si>
  <si>
    <t>2.2.33.</t>
  </si>
  <si>
    <t>10.2.46</t>
  </si>
  <si>
    <t>Ремонт  и  настройка  регулятора   давления газа  РДГ  ,  РДК.</t>
  </si>
  <si>
    <t>10.2.47</t>
  </si>
  <si>
    <t>Замена  регулятора  давления</t>
  </si>
  <si>
    <t>10.2.48</t>
  </si>
  <si>
    <t>Замена мембраны  регулятора</t>
  </si>
  <si>
    <t>10.2.49</t>
  </si>
  <si>
    <t>Замена шланга  и  прокладки  регулятора</t>
  </si>
  <si>
    <t>10.2.50</t>
  </si>
  <si>
    <t>Замена прокладки  уплотнительного клапана  РДГ,РДК.</t>
  </si>
  <si>
    <t>10.2.52</t>
  </si>
  <si>
    <t>Замена  водонагревателя проточного  без  изменения подводки  с пуском  газа и регулировкой  работы   прибора.</t>
  </si>
  <si>
    <t>10.2.53</t>
  </si>
  <si>
    <t>Демонтаж  проточного  водонагревателя  с установкой   заглушки</t>
  </si>
  <si>
    <t>10.2.54</t>
  </si>
  <si>
    <t>Изготовление перемычки при демонтаже газового счетчика</t>
  </si>
  <si>
    <t>перемычка</t>
  </si>
  <si>
    <t>Оформление исполнительно-технической документации на монтаж газового счетчика с выездом на место обследования</t>
  </si>
  <si>
    <t>Прием в эксплуатацию вновь построенного газопровода</t>
  </si>
  <si>
    <t>Капитальный ремонт газовой плиты</t>
  </si>
  <si>
    <t>11.1.20</t>
  </si>
  <si>
    <t>Изготовление подводящей трубки к КГИ-56</t>
  </si>
  <si>
    <t>11.1.24</t>
  </si>
  <si>
    <t>Изготовление хвостовика газового узла ВПГ-18</t>
  </si>
  <si>
    <t>хвостовик</t>
  </si>
  <si>
    <t>11.1.25</t>
  </si>
  <si>
    <t>Изготовление ручки газового узла КГИ-56</t>
  </si>
  <si>
    <t>11.1.26</t>
  </si>
  <si>
    <t>Изготовление мембраны водяной части редуктора ВПГ</t>
  </si>
  <si>
    <t>11.1.28</t>
  </si>
  <si>
    <t>Изготовление штока для водяного узла КГИ-56 или ВПГ</t>
  </si>
  <si>
    <t>11.1.29</t>
  </si>
  <si>
    <t>Изготовление фигурного штока ПГ-6</t>
  </si>
  <si>
    <t>11.1.30</t>
  </si>
  <si>
    <t>Изготовление колпаков сальника водяной части</t>
  </si>
  <si>
    <t>10 шт</t>
  </si>
  <si>
    <t>Изготовление медной трубки для ВПГ-23 длиной 460 мм</t>
  </si>
  <si>
    <t>11.1.38</t>
  </si>
  <si>
    <t>Изготовление трубки к радиатору КГИ - 56</t>
  </si>
  <si>
    <t>11.1.41</t>
  </si>
  <si>
    <t>Пайка трубок к радиатору КГИ-56 и ВПГ-18</t>
  </si>
  <si>
    <t>Пайка калачей к радиатору КГИ-56 и ВПГ-18</t>
  </si>
  <si>
    <t>Замена штуцера на радиаторе ВПГ</t>
  </si>
  <si>
    <t>Замена обжимного кольца горелки ВПГ</t>
  </si>
  <si>
    <t>Ремонт газовых частей всех типов газовых колонок (сверление отверстий под болты, разработка, смазка, сборка)</t>
  </si>
  <si>
    <t>ремонт</t>
  </si>
  <si>
    <t>Пайка змеевика калорифера ВПГ</t>
  </si>
  <si>
    <t>Установка заплаты на кожух ВПГ</t>
  </si>
  <si>
    <t>Замена накидной гайки ВПГ</t>
  </si>
  <si>
    <t xml:space="preserve">Ремонт ЭМК водонагревателя проточного              </t>
  </si>
  <si>
    <t>Замена и пайка одного пальца горелки КГИ-56</t>
  </si>
  <si>
    <t>Замена и пайка трех пальцев горелки КГИ-56</t>
  </si>
  <si>
    <t>Ремонт сборного железобетонного газового колодца  (в п. 5.3.9-5.3.14 при выполнении работ, связанных со снятием и установкой плиты перекрытия колодца, использовать п. 5.3.39)</t>
  </si>
  <si>
    <t>5.3.10</t>
  </si>
  <si>
    <t>Ремонт кирпичного газового колодца</t>
  </si>
  <si>
    <t>5.3.11</t>
  </si>
  <si>
    <t>Замена линзового компенсатора на газопроводе высокого (среднего) давления с диаметром газопровода до 100 мм</t>
  </si>
  <si>
    <t>компен-р</t>
  </si>
  <si>
    <t>201-300мм</t>
  </si>
  <si>
    <t>501-600 мм</t>
  </si>
  <si>
    <t>св. 600 мм</t>
  </si>
  <si>
    <t>5.3.12</t>
  </si>
  <si>
    <t>Замена линзового компенсатора на газопроводе низкого  давления с диаметром газопровода до 100 мм</t>
  </si>
  <si>
    <t>св.200 мм</t>
  </si>
  <si>
    <t>5.3.13</t>
  </si>
  <si>
    <t xml:space="preserve">Врезка в действующий внутридомовой газопровод при диаметре </t>
  </si>
  <si>
    <t xml:space="preserve">Врезка штуцером под газом в действующий внутридомовый газопровод диаметром до </t>
  </si>
  <si>
    <t>Отключение (консервация) на летний период горелок инфракрасного излучения (ГИИ) в  сельскохозяйственных помещениях (на каждую последующую горелку применить коэф.0,6)</t>
  </si>
  <si>
    <t>Пуск в эксплуатацию  (расконсервация) ГИИ в сельскохозяйственном помещении после отключения  на летний период (на каждый последующую горелку  применить коэф. 0,7)</t>
  </si>
  <si>
    <t>Демонтаж установки усиленного дренажа при массе  св 100 кг</t>
  </si>
  <si>
    <t>Демонтаж установки поляризованного дренажа массой до 100 кг</t>
  </si>
  <si>
    <t>Демонтаж установки поляризованного дренажа массой св 100 кг</t>
  </si>
  <si>
    <t>Демонтаж станции катодной защиты при массе св. 100 кг</t>
  </si>
  <si>
    <t>6.3.9</t>
  </si>
  <si>
    <t>5.3.42</t>
  </si>
  <si>
    <t>Ремонт футляра на подземном газопроводе при асфальто­бетонном покрытии</t>
  </si>
  <si>
    <t>5.3.43</t>
  </si>
  <si>
    <t xml:space="preserve"> Ремонт футляра на подземном газопроводе без покрытия</t>
  </si>
  <si>
    <t>5.3.44</t>
  </si>
  <si>
    <t>Устройство битумной изоляции стальных газопроводов диаметром</t>
  </si>
  <si>
    <t>Очистка внутренней полости газопровода продувкой воздухом диаметром</t>
  </si>
  <si>
    <t>201-500 мм</t>
  </si>
  <si>
    <t>Заполнение системы газопровода воздухом для проведения пневматических испытаний диаметром</t>
  </si>
  <si>
    <t>св 200 мм</t>
  </si>
  <si>
    <t>Пневматическое испытание внутреннего газопровода диаметром до 50 мм ( на каждое последующее 10 м применяется коэф 0,2)</t>
  </si>
  <si>
    <t>Монтаж сварных переходов диаметра 300 мм на 200 мм</t>
  </si>
  <si>
    <t>Монтаж сварных переходов диаметра 200 мм на 100 мм</t>
  </si>
  <si>
    <t>Изготовление опоры под газопровод диаметром        до 100 мм</t>
  </si>
  <si>
    <t>Копание ям для стоек и столбов</t>
  </si>
  <si>
    <t>Установка опоры под газопроводом с бетонированием</t>
  </si>
  <si>
    <t>Изготовление крепления для прокладки газопровода диаметром  до 100 мм по стене здания</t>
  </si>
  <si>
    <t>Пробивка отверстий шлямбуром под крепление в стене здания</t>
  </si>
  <si>
    <t>2.3.1.</t>
  </si>
  <si>
    <t>2.3.2.</t>
  </si>
  <si>
    <t>Ревизия ШРП и подготовка к монтажу с регулятором типа РД-32</t>
  </si>
  <si>
    <t>2.3.3.</t>
  </si>
  <si>
    <t>То же, с регулятором типа РД-50</t>
  </si>
  <si>
    <t>2.3.5.</t>
  </si>
  <si>
    <t>св. 100 мм</t>
  </si>
  <si>
    <t>Монтаж сбросного  клапана  ПСК-50</t>
  </si>
  <si>
    <t>2.3.7.</t>
  </si>
  <si>
    <t>Монтаж предохранительного клапана диаметром до 100 мм</t>
  </si>
  <si>
    <t>2.4.1.</t>
  </si>
  <si>
    <t>2.4.2.</t>
  </si>
  <si>
    <t>2.4.5.</t>
  </si>
  <si>
    <t>25-50 мм</t>
  </si>
  <si>
    <t>Установка двух баллонов для сжиженного газа в шкафу (без монтажа шкафа)</t>
  </si>
  <si>
    <t>Монтаж сигнализатора загазованности типа СГП-6</t>
  </si>
  <si>
    <t>Монтаж счетчика газа РГ-40 РГ-400</t>
  </si>
  <si>
    <t>Монтаж счетчика газа РГ-600 РГ-1000</t>
  </si>
  <si>
    <t>(при измерении разности потенциалов сверх 10 пунктов на каждый последующий пункт применять коэф. 0,085)</t>
  </si>
  <si>
    <t xml:space="preserve">Проверка эффективности действия катодной или дренажной установки на средних электронных схемах при измерении разности потенциалов                                                                                                                                                                                                      </t>
  </si>
  <si>
    <t xml:space="preserve">Проверка эффективности действия неавтоматической катодной станции или поляризованной дренажной установки при измерении разности потенциалов                                                                                                                                                                                           </t>
  </si>
  <si>
    <t>Проведение замеров и расчета напряженно-деформированного состояния трубы (замер расчет ударной вязкости металла труб)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</si>
  <si>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</si>
  <si>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10.2.24</t>
  </si>
  <si>
    <t>Замена    пружины  штока крана  плиты</t>
  </si>
  <si>
    <t>10.2.25</t>
  </si>
  <si>
    <t>Замена    электророзжига  при гибкой  прицепке.</t>
  </si>
  <si>
    <t>10.2.26</t>
  </si>
  <si>
    <t>Снятие   электророзжига  при гибкой  прицепке.</t>
  </si>
  <si>
    <t>10.2.27</t>
  </si>
  <si>
    <t>Монтаж анодного вертикального заземлителя из железокерамических электродов при длине электродов до 7 м (на каждый последующий электрод применять коэф.0,3)</t>
  </si>
  <si>
    <t>Прокладка дренажного кабеля в траншее (без стоимости кабеля)</t>
  </si>
  <si>
    <t>Установка опознавательных знаков</t>
  </si>
  <si>
    <t>Проверка, регулировка и испытание под максимальной нагрузкой станции катодной защиты с управляемыми выпрямителями</t>
  </si>
  <si>
    <t>6.1.28.</t>
  </si>
  <si>
    <t>6.1.29.</t>
  </si>
  <si>
    <t>То же,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</si>
  <si>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</si>
  <si>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</si>
  <si>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</si>
  <si>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</si>
  <si>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</si>
  <si>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поляризованного дренажа и блока совместной защиты</t>
  </si>
  <si>
    <t>блок ЭЗУ</t>
  </si>
  <si>
    <t>6.1.33.</t>
  </si>
  <si>
    <t>Предустановочный контроль оборудования преобразователей поляризованного дренажа установки на сложных электронных схемах</t>
  </si>
  <si>
    <t>6.1.34.</t>
  </si>
  <si>
    <t>6.1.35.</t>
  </si>
  <si>
    <t>6.1.36.</t>
  </si>
  <si>
    <t>То же, протекторной защиты</t>
  </si>
  <si>
    <t>6.1.37.</t>
  </si>
  <si>
    <t>То же, анодных заземлителей</t>
  </si>
  <si>
    <t>заземлитель</t>
  </si>
  <si>
    <t>6.1.38.</t>
  </si>
  <si>
    <t>Испытание изоляции электрических кабелей</t>
  </si>
  <si>
    <t>присоед.</t>
  </si>
  <si>
    <t>6.1.39.</t>
  </si>
  <si>
    <t>Замена  крана  горелки АГВ-80,  АОГВ-4, АОГВ-20</t>
  </si>
  <si>
    <t>10.2.143</t>
  </si>
  <si>
    <t>Замена  крана  горелки АГВ-120,  АОГВ-17,5 АОГВ-23</t>
  </si>
  <si>
    <t>Замена  крана горелки  отопительного  котла  ВНИИСТО-МЧ или отопительной  печи</t>
  </si>
  <si>
    <t>10.2.146</t>
  </si>
  <si>
    <t>Замена  термопары АГВ (АОГВ)</t>
  </si>
  <si>
    <t>10.2.147</t>
  </si>
  <si>
    <t>Замена  термопары отопительного котла  ВНИИСТО-МЧ</t>
  </si>
  <si>
    <t>10.2.148</t>
  </si>
  <si>
    <t>Замена термопары  автоматики  безопасности печной  горелки</t>
  </si>
  <si>
    <t>10.2.149</t>
  </si>
  <si>
    <t>Замена  запальника отопительного  котла  или АГВ(АОГВ)</t>
  </si>
  <si>
    <t>10.2.150</t>
  </si>
  <si>
    <t>Замена  запальника печной  горелки</t>
  </si>
  <si>
    <t>10.2.151</t>
  </si>
  <si>
    <t>Замена  сопла  запальника</t>
  </si>
  <si>
    <t>(В ценах п. 5.1.20-5.1.21 не учтены затраты на разработку грунта)</t>
  </si>
  <si>
    <t>отогревом места ледяной закупорки</t>
  </si>
  <si>
    <t>Поднятие и опускание малого ковера при асфальтобетонном покрытии</t>
  </si>
  <si>
    <t>Замена ковера при асфальтобетонном покрытии</t>
  </si>
  <si>
    <t>Замена люка газового колодца при асфальто-бетонном покрытии</t>
  </si>
  <si>
    <t>Замена перекрытия газового колодца при асфальтобетонном покрытии (При отсутствии асфальтобетонного покрытия применять коэф.0,4)</t>
  </si>
  <si>
    <t>Ремонт верхней части футляра газопровода- ввода (набивка уплотнителем и заливка битумом)</t>
  </si>
  <si>
    <t>св. 300 мм</t>
  </si>
  <si>
    <t>1.4.5</t>
  </si>
  <si>
    <t>1.4.6</t>
  </si>
  <si>
    <t>То же, при длине газопровода от 11 до 100 м</t>
  </si>
  <si>
    <t>То же, при длине газопровода от 101 до 200 м</t>
  </si>
  <si>
    <t>1.4.7</t>
  </si>
  <si>
    <t>1.4.8</t>
  </si>
  <si>
    <t>Разработка заключения по электрозащите</t>
  </si>
  <si>
    <t>Подготовка заключения по использованию газообразного топлива</t>
  </si>
  <si>
    <t>1.4.9</t>
  </si>
  <si>
    <t>1.4.10</t>
  </si>
  <si>
    <t>1.4.11</t>
  </si>
  <si>
    <t>1.4.12</t>
  </si>
  <si>
    <t>1.4.13</t>
  </si>
  <si>
    <t>Выдача копий архивных документов предприятиям</t>
  </si>
  <si>
    <t>Внешний осмотр качества изоляции газопровода после опускания его в траншею</t>
  </si>
  <si>
    <t>Проверка  состояния изоляционного покрытия подземных  (уличных) газопроводов  прибором типа АНПИ  при СМР после засыпки до нулевой отметки построенного газопровода</t>
  </si>
  <si>
    <t>км</t>
  </si>
  <si>
    <t>РГ-250 (СГ-200)</t>
  </si>
  <si>
    <t>РГ-400 (СГ-400)</t>
  </si>
  <si>
    <t>РГ-600 (СГ-600)</t>
  </si>
  <si>
    <t>РГ-1000 (СГ-800, СГ-1000)</t>
  </si>
  <si>
    <t>Понижение давления в сетях на период ремонтных работ (на каждый последующее ГРП   применить к цене коэф. 0,5)</t>
  </si>
  <si>
    <t>Замена   ручки  ВПГ, КГИ</t>
  </si>
  <si>
    <t>ручка</t>
  </si>
  <si>
    <t>Прочистка, калибровка  сопла горелки</t>
  </si>
  <si>
    <t>10.2.96</t>
  </si>
  <si>
    <t>10.2.105</t>
  </si>
  <si>
    <t>6.1.55.</t>
  </si>
  <si>
    <t>6.1.56.</t>
  </si>
  <si>
    <t>То же, при длине электродов до 14м</t>
  </si>
  <si>
    <t>6.1.57.</t>
  </si>
  <si>
    <t>Монтаж контрольно-измерительного пункта на трубопроводе без электрода сравнения</t>
  </si>
  <si>
    <t>6.1.58.</t>
  </si>
  <si>
    <t>То же, при количестве заменяемых диодов свыше двух</t>
  </si>
  <si>
    <t>Ремонт дросселя магнитного усилителя ЭЗУ на сложных электронных схемах</t>
  </si>
  <si>
    <t>7.1.3</t>
  </si>
  <si>
    <t xml:space="preserve">Осмотр технического состояния ГРП при трех нитях газопровода </t>
  </si>
  <si>
    <t>Технический надзор за строительством подземного газопровода - ввода (до 25 м)  (На каждые последующие 25 м применить коэф. 0,6)</t>
  </si>
  <si>
    <t>Технический надзор за строительством газопровода и монтажом оборудования в ГРП с одной ниткой редуцирования (При наличии 2 ниток применить коэф. 1,5)</t>
  </si>
  <si>
    <t>Технический надзор за строительством газопровода и монтажом оборудования в ГРУ с одной ниткой редуцирования (При наличии 2 ниток применить коэф. 1,5)</t>
  </si>
  <si>
    <t>Технический надзор за строительством газопровода и монтажом оборудования в ШРП, РДГК, РДНК и др.</t>
  </si>
  <si>
    <t>Технический надзор за строительством и монтажом фасадного и внутреннего газопровода, монтажом газового оборудования административного, общественного здания всех назначений при наличии 1 топочной установки  (на каждую дополнительную топочную установку применить коэф. 0,6)</t>
  </si>
  <si>
    <t>Технический надзор за строительством временного газопровода и монтажом горелок ГИИ для внутренней сушки здания</t>
  </si>
  <si>
    <t>Проверка исполнительно-технической документации на законченное строительство газопровода и монтаж газового оборудования котельной (с ГРУ и одним котлом) (На каждый дополнительный котел применить коэф. 0,5)</t>
  </si>
  <si>
    <t>Проверка исполнительно-технической документации на законченное строительство газопровода и монтаж газового оборудования котельной или технологических печей предприятия</t>
  </si>
  <si>
    <t>Проверка исполнительно-технической документации на законченное строительство газопровода и монтаж газового оборудования административного, общественного здания всех назначений или многоквартирного жилого дома</t>
  </si>
  <si>
    <t>Проверка исполнительно-технической документации на законченное строительство газопровода и монтаж газового оборудования жилого дома индивидуальной застройки</t>
  </si>
  <si>
    <t>проверка оплошности изоляции</t>
  </si>
  <si>
    <t xml:space="preserve">Глава 1. ТЕХНИЧЕСКИЙ НАДЗОР ЗА СТРОИТЕЛЬСТВОМ ОБЪЕКТОВ ГАЗОРАСПРЕДЕЛИТЕЬНОЙ </t>
  </si>
  <si>
    <t>СИСТЕМЫ</t>
  </si>
  <si>
    <t>Промывка  калорифера</t>
  </si>
  <si>
    <t>Снятие  огневой  камеры</t>
  </si>
  <si>
    <t>10.2.132</t>
  </si>
  <si>
    <t>Установка  огневой  камеры</t>
  </si>
  <si>
    <t>10.2.133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</si>
  <si>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</si>
  <si>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</si>
  <si>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</si>
  <si>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</si>
  <si>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</si>
  <si>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</si>
  <si>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</si>
  <si>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</si>
  <si>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</si>
  <si>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</si>
  <si>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 xml:space="preserve"> до 5</t>
  </si>
  <si>
    <t>до 8</t>
  </si>
  <si>
    <t>до 10</t>
  </si>
  <si>
    <t>Ремонт питающего трансформатора блока ЭЗУ на сложных электронных системах</t>
  </si>
  <si>
    <t>трансформ.</t>
  </si>
  <si>
    <t>сигнализатор</t>
  </si>
  <si>
    <t>9.1.26.</t>
  </si>
  <si>
    <t>Глава 2. ТЕКЩИЙ И КАПИТАЛЬНЫЙ РЕМОНТ</t>
  </si>
  <si>
    <t>Текущий ремонт газового оборудования котельной малой мощности  с автоматикой (на каждый последующий котел  применить коэф. 0,25)</t>
  </si>
  <si>
    <t>9.2.1.</t>
  </si>
  <si>
    <t>9.2.2.</t>
  </si>
  <si>
    <t>Государственное унитарное предприятие Свердловской области "Газовые сети"</t>
  </si>
  <si>
    <t>"УТВЕРЖДАЮ"</t>
  </si>
  <si>
    <t>ГУП СО "Газовые сети"</t>
  </si>
  <si>
    <t>ПРЕЙСКУРАНТ</t>
  </si>
  <si>
    <t>Замена прокладок задвижки  на газопроводе высокого (среднего) давления с диаметром газопровода до 100 мм</t>
  </si>
  <si>
    <t>прокладка</t>
  </si>
  <si>
    <t xml:space="preserve">св. 500 мм </t>
  </si>
  <si>
    <t>5.3.16</t>
  </si>
  <si>
    <t>Замена прокладок задвижки  на газопроводе низкого давления с диаметром газопровода до 100 мм</t>
  </si>
  <si>
    <t>5.3.17</t>
  </si>
  <si>
    <t>Замена сальников набивки на  задвижке  на газопроводе высокого (среднего) давления с диаметром газопровода до 200 мм</t>
  </si>
  <si>
    <t>св.500 мм</t>
  </si>
  <si>
    <t>5.3.18</t>
  </si>
  <si>
    <t>Замена сальников набивки на  задвижке  на газопроводе низкого давления с диаметром газопровода до 200 мм</t>
  </si>
  <si>
    <t>5.3.19</t>
  </si>
  <si>
    <t>Ремонт задвижки на газопроводе высокого (среднего) давления с диаметром газопровода до 100 мм</t>
  </si>
  <si>
    <t>5.3.20</t>
  </si>
  <si>
    <t>Ремонт задвижки на газопроводе низкого давления с диаметром газопровода до 100 мм</t>
  </si>
  <si>
    <t>5.3.21</t>
  </si>
  <si>
    <t>Замена изолирующих втулок втулок во фланцевых соединениях газопровода при диаметре до100 мм</t>
  </si>
  <si>
    <t>5.3.22</t>
  </si>
  <si>
    <t>5.3.23</t>
  </si>
  <si>
    <t>5.3.24</t>
  </si>
  <si>
    <t>3.52.</t>
  </si>
  <si>
    <t>4.2.9.</t>
  </si>
  <si>
    <t>4.2.10.</t>
  </si>
  <si>
    <t>5.4.15.</t>
  </si>
  <si>
    <t>Подключение кабеля к рельсам трамвая в колодце (ковере)</t>
  </si>
  <si>
    <t>Подключение кабеля к рельсам трамвая в грунте</t>
  </si>
  <si>
    <t>6.1.71.</t>
  </si>
  <si>
    <t>6.1.72.</t>
  </si>
  <si>
    <t>Установка опытной автоматической катодной станции несложных электронных схемах с применением передвижной лаборатории  ПЗЛК при забивке металлических электродов до 10</t>
  </si>
  <si>
    <t>То же, при забивке металлических электродов от 11 до 15</t>
  </si>
  <si>
    <t>10.2.152</t>
  </si>
  <si>
    <t>Замена  терморегулятора (термобаллона) АГВ (АОГВ)</t>
  </si>
  <si>
    <t>10.2.153</t>
  </si>
  <si>
    <t>Замена ЭМК емкостного водонагревателя</t>
  </si>
  <si>
    <t>10.2.154</t>
  </si>
  <si>
    <t>Замена ЭМК отопительного котла  ВНИИСТО-МЧ</t>
  </si>
  <si>
    <t>10.2.155</t>
  </si>
  <si>
    <t>Замена ЭМК   печной  горелки</t>
  </si>
  <si>
    <t>10.2.156</t>
  </si>
  <si>
    <t>Замена  пружины  ЭМК отопительного котла или АГВ(АОГВ)</t>
  </si>
  <si>
    <t>10.2.157</t>
  </si>
  <si>
    <t>Замены  пружины  ЭМК  печной  горелки</t>
  </si>
  <si>
    <t>10.2.158</t>
  </si>
  <si>
    <t>Замены  мембраны ЭМК   отопительного  котла  или АГВ (АОГВ)пружины  ЭМК  печной  горелки</t>
  </si>
  <si>
    <t>10.2.159</t>
  </si>
  <si>
    <t>Замены  мембраны ЭМК     печной  горелки</t>
  </si>
  <si>
    <t>10.2.160</t>
  </si>
  <si>
    <t>Замена  тройника ЭМК</t>
  </si>
  <si>
    <t>10.2.161</t>
  </si>
  <si>
    <t>Замена тягоудлинителя</t>
  </si>
  <si>
    <t>10.2.162</t>
  </si>
  <si>
    <t>10.2.163</t>
  </si>
  <si>
    <t>Замена  сопла основной  горелки</t>
  </si>
  <si>
    <t>10.2.164</t>
  </si>
  <si>
    <t>Замена трубки  газопровода  запального устройства</t>
  </si>
  <si>
    <t>10.2.165</t>
  </si>
  <si>
    <t>Замена блока  автоматики</t>
  </si>
  <si>
    <t>10.2.166</t>
  </si>
  <si>
    <t>Замена сильфона блока автоматики</t>
  </si>
  <si>
    <t>10.2.167</t>
  </si>
  <si>
    <t>Замена  фильтра  на  автоматике АГВ,АОГВ</t>
  </si>
  <si>
    <t>10.2.168</t>
  </si>
  <si>
    <t>Замена обратного предохранительного  клапана</t>
  </si>
  <si>
    <t>10.2.169</t>
  </si>
  <si>
    <t>Замена "кармана" под термометр в отопительном  аппарате</t>
  </si>
  <si>
    <t>10.2.170</t>
  </si>
  <si>
    <t>Замена биметаллической пластинки</t>
  </si>
  <si>
    <t>10.2.171</t>
  </si>
  <si>
    <t>Замена  прокладки на клапане</t>
  </si>
  <si>
    <t>10.2.172</t>
  </si>
  <si>
    <t>электрод</t>
  </si>
  <si>
    <t>6.1.40.</t>
  </si>
  <si>
    <t>Оформление исполнительно-техической документации на монтаж подземного газопровода</t>
  </si>
  <si>
    <t>Глава 3. МОНТАЖ ГАЗОВОГО ОБОРУДОВАНИЯВ ГРП (ГРУ, ШРП)</t>
  </si>
  <si>
    <t>Установка регулятора давления газа диаметром</t>
  </si>
  <si>
    <t>150 мм</t>
  </si>
  <si>
    <t>пункт</t>
  </si>
  <si>
    <t>2.3.4.</t>
  </si>
  <si>
    <t>Монтаж телемеханизации ГРП (ГРУ)</t>
  </si>
  <si>
    <t xml:space="preserve">Установка фильтра для очистки газа от механических примесей при диаметре газопровода </t>
  </si>
  <si>
    <t>свыше 100 мм</t>
  </si>
  <si>
    <t>фильтр</t>
  </si>
  <si>
    <t>2.3.6.</t>
  </si>
  <si>
    <t>клапан</t>
  </si>
  <si>
    <t>плита</t>
  </si>
  <si>
    <t>водонагре-</t>
  </si>
  <si>
    <t>ватель</t>
  </si>
  <si>
    <t>котел</t>
  </si>
  <si>
    <t>горелка</t>
  </si>
  <si>
    <t>кран</t>
  </si>
  <si>
    <t>установка</t>
  </si>
  <si>
    <t>прибор</t>
  </si>
  <si>
    <t xml:space="preserve">        ""</t>
  </si>
  <si>
    <t>Замена горелки отопительного аппарата с новой подводкой газопровода и пуском газа</t>
  </si>
  <si>
    <t>Замена отопительного котла с новой подводкой газопровода и пуском газа</t>
  </si>
  <si>
    <t>Перестановка газовой плиты с пуском газа</t>
  </si>
  <si>
    <t>То же, с примененением сварки</t>
  </si>
  <si>
    <t>Демонтаж ротационного газового счетчика с установкой перемычки</t>
  </si>
  <si>
    <t>10.2.103</t>
  </si>
  <si>
    <t>Замена  термопары</t>
  </si>
  <si>
    <t>10.2.104</t>
  </si>
  <si>
    <t>10.2.106</t>
  </si>
  <si>
    <t>Ремонт  автоматики  горелок  ВПГ</t>
  </si>
  <si>
    <t>10.2.107</t>
  </si>
  <si>
    <t>Прочистка  штуцера  водяной  части</t>
  </si>
  <si>
    <t>10.2.108</t>
  </si>
  <si>
    <t>Прочистка  запальника</t>
  </si>
  <si>
    <t>10.2.109</t>
  </si>
  <si>
    <t>10.2.110</t>
  </si>
  <si>
    <t>Прочистка  сопла   водяного  узла</t>
  </si>
  <si>
    <t>10.2.111</t>
  </si>
  <si>
    <t>Замена двух труб горелки водонагревателя  "Днепр"</t>
  </si>
  <si>
    <t>То же, при замене пяти труб</t>
  </si>
  <si>
    <t>Замена двух сопел горелки водонагревателя "Днепро"</t>
  </si>
  <si>
    <t>То же, при замене пяти сопел</t>
  </si>
  <si>
    <t>11.1.69</t>
  </si>
  <si>
    <t xml:space="preserve">Ремонт отопительной горелки </t>
  </si>
  <si>
    <t>с заменой ЭМК</t>
  </si>
  <si>
    <t>с заменой крана</t>
  </si>
  <si>
    <t>инженер в службе СМР</t>
  </si>
  <si>
    <t>Цена  для  населения               (с НДС)</t>
  </si>
  <si>
    <t>Изготовление трубок горелки ГПТ-2М</t>
  </si>
  <si>
    <t>11.1.83</t>
  </si>
  <si>
    <t>эл. газосв смр 5 р</t>
  </si>
  <si>
    <t>монтер эхз 5 р</t>
  </si>
  <si>
    <t>эл.газосв смр 5 р</t>
  </si>
  <si>
    <t>То же, при установке плиты и проточного водонагревателя</t>
  </si>
  <si>
    <t>Цена  для  населения                  (с НДС)</t>
  </si>
  <si>
    <t>Проверка исправности контрольно-измерительных пунктов, оборудованного медно-сульфатным электродом длительного действия</t>
  </si>
  <si>
    <t>6.2.29.</t>
  </si>
  <si>
    <t>Технический осмотр протектрной защиты при измерении стальным электродом сравнения</t>
  </si>
  <si>
    <t>протекторная защита</t>
  </si>
  <si>
    <t>6.2.30.</t>
  </si>
  <si>
    <t>Технический осмотр протекторной защиты при измерении медно-сульфатным электродом сравнения</t>
  </si>
  <si>
    <t>6.2.31..</t>
  </si>
  <si>
    <t>6.2.34.</t>
  </si>
  <si>
    <t>6.2.32.</t>
  </si>
  <si>
    <t>Технический осмотр автоматической станции катодной защиты на  электронных схемах средней сложности</t>
  </si>
  <si>
    <t>6.2.33.</t>
  </si>
  <si>
    <t xml:space="preserve">Технический осмотр неавтоматической станции катодной защиты 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</si>
  <si>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</si>
  <si>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</si>
  <si>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</si>
  <si>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</si>
  <si>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поляризированной дренажной установки</t>
  </si>
  <si>
    <t>6.2.37.</t>
  </si>
  <si>
    <t>6.2.38.</t>
  </si>
  <si>
    <t>до 4 пунктов</t>
  </si>
  <si>
    <t>до 8 пунктов</t>
  </si>
  <si>
    <t>до 10 пунктов</t>
  </si>
  <si>
    <t>до 6 пунктов</t>
  </si>
  <si>
    <t>6.2.39.</t>
  </si>
  <si>
    <t>6.2.40.</t>
  </si>
  <si>
    <t>6.2.41.</t>
  </si>
  <si>
    <t>6.2.42.</t>
  </si>
  <si>
    <t>6.2.43.</t>
  </si>
  <si>
    <t>6.2.44.</t>
  </si>
  <si>
    <t>Проверка регулировка и испытание под максимальной нагрузкой поляризировнного дренажа</t>
  </si>
  <si>
    <t>6.2.45.</t>
  </si>
  <si>
    <t xml:space="preserve">Проверка, регулировка и испытание под максимальной нагрузкой усиленного дренажа с магнитным усилителем </t>
  </si>
  <si>
    <t>6.2.46.</t>
  </si>
  <si>
    <t>Приготовление (разогрев) битумной мастики для изоляции газопровода</t>
  </si>
  <si>
    <t xml:space="preserve">Устранение снежно-ледяных и кристаллогидратных закупорок в газопроводе. Способ устранения закупорок: </t>
  </si>
  <si>
    <t>7.1.4</t>
  </si>
  <si>
    <t xml:space="preserve">Осмотр технического состояния ШРП при одной нитке газопровода </t>
  </si>
  <si>
    <t>7.1.5</t>
  </si>
  <si>
    <t xml:space="preserve">Осмотр технического состояния ШРП при двух нитях газопровода </t>
  </si>
  <si>
    <t>7.1.6</t>
  </si>
  <si>
    <t>Осмотр технического состояния регулятора давления типа РДГК-6, РДГК-10, РДКД-20, РДНК-400, РДСК-50</t>
  </si>
  <si>
    <t>7.2.1</t>
  </si>
  <si>
    <t>Техническое обслуживание ГРП при одной нитке газопровода диаметром  до 100 мм</t>
  </si>
  <si>
    <t>ГРП</t>
  </si>
  <si>
    <t>7.2.2.</t>
  </si>
  <si>
    <t>Техническое обслуживание ГРП при двух нитях газопровода диаметром  до 100 мм</t>
  </si>
  <si>
    <t>(при трех нитях применять к цене коэф. 1,3)</t>
  </si>
  <si>
    <t>7.2.3.</t>
  </si>
  <si>
    <t xml:space="preserve">Текущий ремонт оборудования  ГРП при одной нитке газопровода </t>
  </si>
  <si>
    <t>7.2.4</t>
  </si>
  <si>
    <t xml:space="preserve">Текущий ремонт оборудования  ГРП при двух нитях газопровода </t>
  </si>
  <si>
    <t>7.2.5</t>
  </si>
  <si>
    <t xml:space="preserve">Техническое обслуживание ШРП при одной нитке газопровода </t>
  </si>
  <si>
    <t>ШРП</t>
  </si>
  <si>
    <t>7.2.6</t>
  </si>
  <si>
    <t xml:space="preserve">Техническое обслуживание ШРП при двух нитях газопровода </t>
  </si>
  <si>
    <t>7.2.7</t>
  </si>
  <si>
    <t xml:space="preserve">Текущий ремонт оборудования ШРП при одной нитке газопровода </t>
  </si>
  <si>
    <t>7.2.8</t>
  </si>
  <si>
    <t xml:space="preserve">Текущий ремонт оборудования ШРП при двух нитях газопровода </t>
  </si>
  <si>
    <t>7.2.9</t>
  </si>
  <si>
    <t>Прочистка  сетки водяного редуктора с заменой  прокладки</t>
  </si>
  <si>
    <t>10.2.112</t>
  </si>
  <si>
    <t>Чистка  трубки  , настройка датчика тяги.</t>
  </si>
  <si>
    <t>10.2.113</t>
  </si>
  <si>
    <t>Чеканка  форсунок  ВПГ</t>
  </si>
  <si>
    <t>10.2.114</t>
  </si>
  <si>
    <t>Чистка  горелок</t>
  </si>
  <si>
    <t>10.2.115</t>
  </si>
  <si>
    <t>Высечка щтуцера  водяной  части с корректировкой  резьбы</t>
  </si>
  <si>
    <t>10.2.116</t>
  </si>
  <si>
    <t>Снятие  и прочистка подводящей трубки  холодной  воды с корректировкой  резьбы</t>
  </si>
  <si>
    <t>10.2.117</t>
  </si>
  <si>
    <t>Установка  подводящей  трубки  холодной  воды</t>
  </si>
  <si>
    <t>10.2.118</t>
  </si>
  <si>
    <t>Снятие  и прочистка отводящей трубки  горячей  воды с корректировкой  резьбы</t>
  </si>
  <si>
    <t>10.2.119</t>
  </si>
  <si>
    <t>Установка отводящей  трубки  горячей  воды</t>
  </si>
  <si>
    <t>10.2.123</t>
  </si>
  <si>
    <t>10.2.124</t>
  </si>
  <si>
    <t>Смазка пробки  блок-крана</t>
  </si>
  <si>
    <t>10.2.125</t>
  </si>
  <si>
    <t>Смазка штока газового  узла</t>
  </si>
  <si>
    <t>10.2.126</t>
  </si>
  <si>
    <t>Регулировка  штока  газового  узла</t>
  </si>
  <si>
    <t>10.2.127</t>
  </si>
  <si>
    <t>Устранение  течи  воды  в  резьбовом  соединении</t>
  </si>
  <si>
    <t>10.2.128</t>
  </si>
  <si>
    <t>Ремонт  запальника  горелки</t>
  </si>
  <si>
    <t>10.2.129</t>
  </si>
  <si>
    <t>Очистка радиатора (теплообменника) от сажи</t>
  </si>
  <si>
    <t>10.2.130</t>
  </si>
  <si>
    <t>проверка</t>
  </si>
  <si>
    <t>5.3.50</t>
  </si>
  <si>
    <t>2.4.26</t>
  </si>
  <si>
    <t>2.4.29</t>
  </si>
  <si>
    <t>2.4.30</t>
  </si>
  <si>
    <t>2.4.31</t>
  </si>
  <si>
    <t>2.4.32</t>
  </si>
  <si>
    <t>2.4.33</t>
  </si>
  <si>
    <t>2.4.34</t>
  </si>
  <si>
    <t>Монтаж сигнализатора загазованности типа СТМ, СТХ-3, СТХ-6, ЩИТ-2 и др</t>
  </si>
  <si>
    <t>Замена плиты с новой подводкой газопровода и пуском газа  (Для плит повышенной комфортности и импортного производства применить коэф. 1,25)</t>
  </si>
  <si>
    <t>Замена проточного водонагревателя с новой подводкой газопровода, водопровода и пуском газа</t>
  </si>
  <si>
    <t>Замена водяной части проточного водонагревателя с пуском газа</t>
  </si>
  <si>
    <t>Замена вытяжных труб у газовых приборов</t>
  </si>
  <si>
    <t>Демонтаж газовой плиты с установкой заглушки</t>
  </si>
  <si>
    <t>Демонтаж проточного водонагревателя с установкой заглушки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</si>
  <si>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</si>
  <si>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</si>
  <si>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счетчика с установкой перемычки</t>
  </si>
  <si>
    <t>Глава 1. ВРЕЗКА, ОБРЕЗКА МЕТАЛЛИЧЕСКОГО ГАЗОПРОВОДА</t>
  </si>
  <si>
    <t>2.1.1.</t>
  </si>
  <si>
    <t>врезка (обрезка)</t>
  </si>
  <si>
    <t>2.1.2.</t>
  </si>
  <si>
    <t>2.1.3.</t>
  </si>
  <si>
    <t>врезка</t>
  </si>
  <si>
    <t>2.1.4.</t>
  </si>
  <si>
    <t>2.1.5.</t>
  </si>
  <si>
    <t>присоединение</t>
  </si>
  <si>
    <t>2.1.6.</t>
  </si>
  <si>
    <t>2.1.7.</t>
  </si>
  <si>
    <t>2.1.8.</t>
  </si>
  <si>
    <t>Сварка стыка диаметром до</t>
  </si>
  <si>
    <t>стык</t>
  </si>
  <si>
    <t>2.1.9.</t>
  </si>
  <si>
    <t>обрезка</t>
  </si>
  <si>
    <t>10.1.14</t>
  </si>
  <si>
    <t>Техническое  обслуживание  емкостного  водонагревателя  типа АОГВ -11,АОГВ-15,АОГВ-20.</t>
  </si>
  <si>
    <t>10.1.15</t>
  </si>
  <si>
    <t>Техническое  обслуживание  емкостного  водонагревателя  типа АОГВ -17,5, АОГВ-23,АОГВ-29.</t>
  </si>
  <si>
    <t>10.1.16</t>
  </si>
  <si>
    <t>Техническое  обслуживание  емкостного  водонагревателя  типа ДОН -16, ДОН-31,5,Хопер.</t>
  </si>
  <si>
    <t>10.1.17</t>
  </si>
  <si>
    <t>Техническое  обслуживание  емкостного  водонагревателя  типа КЧМ,БЭМ.</t>
  </si>
  <si>
    <t>10.1.18</t>
  </si>
  <si>
    <t>10.1.19</t>
  </si>
  <si>
    <t>Техническое  обслуживание  отопительного котла ВНИИСТО</t>
  </si>
  <si>
    <t>Техническое  обслуживание  отопительной  печи  с автоматикой</t>
  </si>
  <si>
    <t>10.1.22</t>
  </si>
  <si>
    <t>Техническое  обслуживание  отопительной  печи  без  автоматики</t>
  </si>
  <si>
    <t>10.1.23</t>
  </si>
  <si>
    <t xml:space="preserve">Техническое  обслуживание  бытового газового счетчика </t>
  </si>
  <si>
    <t xml:space="preserve">до 32 мм </t>
  </si>
  <si>
    <t>33-40 мм</t>
  </si>
  <si>
    <t>41-50 мм</t>
  </si>
  <si>
    <t xml:space="preserve">Проверка герметичности внутреннего  газопровода  и  газового  оборудования  при количестве  приборов  на  одном  стояке  </t>
  </si>
  <si>
    <t>до  5</t>
  </si>
  <si>
    <t>с  6-10</t>
  </si>
  <si>
    <t>с 11-15</t>
  </si>
  <si>
    <t>свыше 16</t>
  </si>
  <si>
    <t xml:space="preserve">Включение  отопительной  печи  без  автоматического  устройства  на зимний  период </t>
  </si>
  <si>
    <t xml:space="preserve">Врезка или обрезка (с заглушкой) подземного газопровода низкого давления с отключением давления в сети при диаметре </t>
  </si>
  <si>
    <t xml:space="preserve">                                                         до 50 мм</t>
  </si>
  <si>
    <t xml:space="preserve">                                                        51-100 мм</t>
  </si>
  <si>
    <t xml:space="preserve">                                                       101-200 мм</t>
  </si>
  <si>
    <t>8.4.14</t>
  </si>
  <si>
    <t>Проверка герметичности (контрольная опресовка) внутренних газопроводов и газового оборудования коммунально-бытовых предприятий</t>
  </si>
  <si>
    <t>9.1.28.</t>
  </si>
  <si>
    <t>9.1.29.</t>
  </si>
  <si>
    <t>9.1.30.</t>
  </si>
  <si>
    <t>Техническое обслуживаниие сигнализатора загазованности (кроме проверки контрольными смесями)</t>
  </si>
  <si>
    <t>9.1.31.</t>
  </si>
  <si>
    <t>9.2.17.</t>
  </si>
  <si>
    <t>9.2.18.</t>
  </si>
  <si>
    <t>9.2.19.</t>
  </si>
  <si>
    <t>9.2.20.</t>
  </si>
  <si>
    <t>РАЗДЕЛ 9. ВНУТРЕННИЕ ГАЗОПРОВОДЫ,  ГАЗОИСПОЛЬЗУЮЩИЕ УСТАНОВКИ И</t>
  </si>
  <si>
    <t xml:space="preserve"> ГАЗОВОЕ ОБОРУДОВАНИЕ  ПРОИЗВОДСТВЕННЫХ ЗДАНИЙ,  </t>
  </si>
  <si>
    <t>10.1.21</t>
  </si>
  <si>
    <t>10.1.25</t>
  </si>
  <si>
    <t>Техническое обслуживание агрегата "Lennox"</t>
  </si>
  <si>
    <t>То же, с увлажнением</t>
  </si>
  <si>
    <t>10.1.26</t>
  </si>
  <si>
    <t>10.1.27</t>
  </si>
  <si>
    <t>10.1.28</t>
  </si>
  <si>
    <t>Техническое обслужиание сигнализатора загазованности (кроме проверки контрольными смесями)</t>
  </si>
  <si>
    <t>То же, при количестве приборов на одном стояке 6-10</t>
  </si>
  <si>
    <t>То же, при количестве приборов на одном стояке 11-15</t>
  </si>
  <si>
    <t>То же, при количестве приборов на одном стояке свыше 16</t>
  </si>
  <si>
    <t>5.3.1</t>
  </si>
  <si>
    <t xml:space="preserve"> Восстановление вручную поврежденных мест защитного покрытия газопровода битумной изоляцией</t>
  </si>
  <si>
    <t>м2 повреж. газопров.</t>
  </si>
  <si>
    <t>5.3.2</t>
  </si>
  <si>
    <t>закупорка</t>
  </si>
  <si>
    <t>заливкой растворителя</t>
  </si>
  <si>
    <t>Первичный пуск в эксплуатацию газового оборудования котельной с одним котлом   средней мощности с автоматикой  и ГРУ (на каждый последующий котел  применить  п. 3.24)</t>
  </si>
  <si>
    <t xml:space="preserve">Первичный пуск газа в газовое оборудование общественного здания производственного назначения, административного, общественного здания  </t>
  </si>
  <si>
    <t>3.39.</t>
  </si>
  <si>
    <t xml:space="preserve">Первичный пуск газа в газовое оборудование жилого дома индивидуальной застройки при установке двух плит и двух отопительных горелок 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</si>
  <si>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</si>
  <si>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</si>
  <si>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</si>
  <si>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</si>
  <si>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</si>
  <si>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</si>
  <si>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</si>
  <si>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</si>
  <si>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</si>
  <si>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</si>
  <si>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</si>
  <si>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стояк</t>
  </si>
  <si>
    <t xml:space="preserve">Проверка защитного покрытия газопровода перед отпусканием его в траншею при диаметре газопровода до 100 мм </t>
  </si>
  <si>
    <t>в т.ч  внешний осмотр изоляции</t>
  </si>
  <si>
    <t>адгезия к стали</t>
  </si>
  <si>
    <t>определение толщины изоляции прибором ДИСИ</t>
  </si>
  <si>
    <t>4.2.2.</t>
  </si>
  <si>
    <t>То же , при диаметре  газопровода 101-300 мм</t>
  </si>
  <si>
    <t>То же , при диаметре  газопровода свыше 300 мм</t>
  </si>
  <si>
    <t>проект-к</t>
  </si>
  <si>
    <t>св. 50 мм</t>
  </si>
  <si>
    <t>Техническое обслуживание  (ревизия) задвижки в котельной при диаметре газопровода  до 100 мм</t>
  </si>
  <si>
    <t>Техническое обслуживание газовых счетчиков типа:</t>
  </si>
  <si>
    <t>РГ-40</t>
  </si>
  <si>
    <t>РГ-100</t>
  </si>
  <si>
    <t>РГ-250</t>
  </si>
  <si>
    <t>РГ-400</t>
  </si>
  <si>
    <t>РГ-600</t>
  </si>
  <si>
    <t>РГ-1000</t>
  </si>
  <si>
    <t>СГ-100</t>
  </si>
  <si>
    <t>СГ-200</t>
  </si>
  <si>
    <t>СГ-400</t>
  </si>
  <si>
    <t>СГ-600</t>
  </si>
  <si>
    <t>СГ-800, СГ-1000</t>
  </si>
  <si>
    <t>5.3.51</t>
  </si>
  <si>
    <t>101-300</t>
  </si>
  <si>
    <t>5.3.52</t>
  </si>
  <si>
    <t xml:space="preserve">Прокладка с пневматическим испытанием стального подземного газопровода диаметром до </t>
  </si>
  <si>
    <t>Прокладка с пневматическим испытанием стального надземного газопровода диаметром до</t>
  </si>
  <si>
    <t>40 мм</t>
  </si>
  <si>
    <t>50-100 мм</t>
  </si>
  <si>
    <t>Прокладка с пневматическим испытанием внутридомового газопровода диаметром до 50 мм</t>
  </si>
  <si>
    <t>Приварка фланцев к стальному газопроводу диаметром до</t>
  </si>
  <si>
    <t>Монтаж изолирующих фланцев на газопровод диаметром</t>
  </si>
  <si>
    <t xml:space="preserve">Установка горизонтального футляра на газопроводе с заливкой битумом концов футляра при диаметре </t>
  </si>
  <si>
    <t>до 200 мм</t>
  </si>
  <si>
    <t>св. 200 мм</t>
  </si>
  <si>
    <t>Установка вертикального футляра на газопроводе с заливкой битумом верхнего конца футляра</t>
  </si>
  <si>
    <t>То же, при установке отопительного аппарата ( При установке двух  отопительных аппаратов применить коэф. 1,8; при установке бытового счетчика газа применить коэф. 1,1)</t>
  </si>
  <si>
    <t>То же, при установке плиты и отопительного аппарата ( При установке двух  отопительных аппаратов применить коэф. 1,4; при установке бытового счетчика газа применить коэф. 1,08)</t>
  </si>
  <si>
    <t>Реставрация клапана КБ-3</t>
  </si>
  <si>
    <t>11.1.14</t>
  </si>
  <si>
    <t xml:space="preserve">операция  </t>
  </si>
  <si>
    <t>11.1.15</t>
  </si>
  <si>
    <t>Ремонт угольника плиты "Вромет"</t>
  </si>
  <si>
    <t>11.1.16</t>
  </si>
  <si>
    <t>11.1.17</t>
  </si>
  <si>
    <t>Ремонт кронштейна дверей дверки духового шкафа плиты</t>
  </si>
  <si>
    <t>11.1.18</t>
  </si>
  <si>
    <t>Составление отчета с оценкой дальнейшего срока службы резервуара или причин демонтажа</t>
  </si>
  <si>
    <t>слесарь свдго 5р.</t>
  </si>
  <si>
    <t>слеарь свдго 4 р.</t>
  </si>
  <si>
    <t>слесарь свдго 4 р.</t>
  </si>
  <si>
    <t>слесарь свдго5 р</t>
  </si>
  <si>
    <t>газосв.уч-ка 5 р</t>
  </si>
  <si>
    <t>аппарат</t>
  </si>
  <si>
    <t xml:space="preserve">Глава 2.. РЕМОНТ ПО ЗАЯВКАМ </t>
  </si>
  <si>
    <t>вызов</t>
  </si>
  <si>
    <t>10.2.1.</t>
  </si>
  <si>
    <t>10.2.2.</t>
  </si>
  <si>
    <t>10.2.3.</t>
  </si>
  <si>
    <t>10.2.4.</t>
  </si>
  <si>
    <t>10.2.5.</t>
  </si>
  <si>
    <t>10.2.6.</t>
  </si>
  <si>
    <t>стол</t>
  </si>
  <si>
    <t>Замена рампы плиты</t>
  </si>
  <si>
    <t>Замена дна плиты</t>
  </si>
  <si>
    <t xml:space="preserve">рампа </t>
  </si>
  <si>
    <t>дно</t>
  </si>
  <si>
    <t>Замена  верхней горелки плиты</t>
  </si>
  <si>
    <t>10.2.7.</t>
  </si>
  <si>
    <t>10.2.8.</t>
  </si>
  <si>
    <t>10.2.9.</t>
  </si>
  <si>
    <t>Замена смесителя горелки</t>
  </si>
  <si>
    <t>сопло</t>
  </si>
  <si>
    <t>смеситель</t>
  </si>
  <si>
    <t>10.2.10.</t>
  </si>
  <si>
    <t>10.2.11.</t>
  </si>
  <si>
    <t>10.2.12.</t>
  </si>
  <si>
    <t>10.2.13.</t>
  </si>
  <si>
    <t>10.2.14.</t>
  </si>
  <si>
    <t>10.2.15.</t>
  </si>
  <si>
    <t>дверка</t>
  </si>
  <si>
    <t>деталь</t>
  </si>
  <si>
    <t>Замена стекла двери духового шкафа</t>
  </si>
  <si>
    <t>10.2.16</t>
  </si>
  <si>
    <t>стекло</t>
  </si>
  <si>
    <t>10.2.19.</t>
  </si>
  <si>
    <t>10.2.22</t>
  </si>
  <si>
    <t>подвод</t>
  </si>
  <si>
    <t>шланг</t>
  </si>
  <si>
    <t>ЭМК</t>
  </si>
  <si>
    <t>9.2.13.</t>
  </si>
  <si>
    <t>9.2.14.</t>
  </si>
  <si>
    <t>9.2.15.</t>
  </si>
  <si>
    <t>9.2.16.</t>
  </si>
  <si>
    <t>откл.устр.</t>
  </si>
  <si>
    <t>в ГРП</t>
  </si>
  <si>
    <t>9.2.10.</t>
  </si>
  <si>
    <t>9.2.11.</t>
  </si>
  <si>
    <t>9.2.12.</t>
  </si>
  <si>
    <t>10.1.1.</t>
  </si>
  <si>
    <t>Техническое обслуживание плиты двухгорелочной  газовой</t>
  </si>
  <si>
    <t>10.1.2</t>
  </si>
  <si>
    <t>Техническое обслуживание плиты трехгорелочной  газовой</t>
  </si>
  <si>
    <t>10.1.3</t>
  </si>
  <si>
    <t>Техническое обслуживание плиты четырехгорелочной  газовой</t>
  </si>
  <si>
    <t>10.1.4</t>
  </si>
  <si>
    <t>Раздел 5. НАРУЖНЫЕ СТАЛЬНЫЕ ГАЗОПРОВОДЫ, АРМАТУРА И СООРУЖЕНИЯ</t>
  </si>
  <si>
    <t>Раздел 6. ЭЛЕКТРОХИМИЧЕСКАЯ ЗАЩИТА ГАЗОПРОВОДА ОТ КОРРОЗИИ</t>
  </si>
  <si>
    <t>10.2.134</t>
  </si>
  <si>
    <t xml:space="preserve">тройник </t>
  </si>
  <si>
    <t>10.2.144</t>
  </si>
  <si>
    <t>труба</t>
  </si>
  <si>
    <t>сильфон</t>
  </si>
  <si>
    <t xml:space="preserve">АДМИНИСТРАТИВНЫХ, ОБЩЕСТВЕННЫХ НЕПРОИЗВОДСТВЕННОГО НАЗНАЧЕНИЯ И </t>
  </si>
  <si>
    <t>ЖИЛЫХ ЗДАНИЙ</t>
  </si>
  <si>
    <t>11.1.8</t>
  </si>
  <si>
    <t>переходник</t>
  </si>
  <si>
    <t>11.1.9</t>
  </si>
  <si>
    <t>Изготовление ручки газовой плиты</t>
  </si>
  <si>
    <t>10 ручек</t>
  </si>
  <si>
    <t>11.1.10</t>
  </si>
  <si>
    <t>Изготовление ручки для газовых кранов диаметром 15-20 мм</t>
  </si>
  <si>
    <t>11.1.11</t>
  </si>
  <si>
    <t>Устройство защитного вертикального заземления</t>
  </si>
  <si>
    <t>заземление</t>
  </si>
  <si>
    <t>6.1.60.</t>
  </si>
  <si>
    <t>6.1.61.</t>
  </si>
  <si>
    <t>Прокладка кабеля питания в траншее</t>
  </si>
  <si>
    <t>Прокладка кабеля в стальной трубе по стенам или опорам</t>
  </si>
  <si>
    <t>Прокладка провода в стальной трубе по стенам или опорам</t>
  </si>
  <si>
    <t>6.1.62.</t>
  </si>
  <si>
    <t>6.1.63.</t>
  </si>
  <si>
    <t>6.1.64.</t>
  </si>
  <si>
    <t>Подвеска кабеля между опорами</t>
  </si>
  <si>
    <t>6.1.65.</t>
  </si>
  <si>
    <t>Подключение кабеля к трубопроводу в колодце (ковее)</t>
  </si>
  <si>
    <t>подключ</t>
  </si>
  <si>
    <t>6.1.66.</t>
  </si>
  <si>
    <t>Подключение кабеля к трубопроводу в грунте</t>
  </si>
  <si>
    <t>6.1.67.</t>
  </si>
  <si>
    <t>Монтаж узла учета электроэнергии</t>
  </si>
  <si>
    <t>узел</t>
  </si>
  <si>
    <t>6.1.68.</t>
  </si>
  <si>
    <t>Монтаж опоры воздушной линии</t>
  </si>
  <si>
    <t>6.1.69.</t>
  </si>
  <si>
    <t>6.1.70.</t>
  </si>
  <si>
    <t>То же, с опорным столбиком</t>
  </si>
  <si>
    <t>Раздел 7. ГАЗОРЕГУЛЯТОРНЫЕ ПУНКТЫ (ГРП), ГАЗОРЕГУЛЯТОРНЫЕ УСТОНОВКИ (ГРУ)</t>
  </si>
  <si>
    <t>И ШКАФНЫЕ ГАЗОРЕГУЛЯТОРНЫЕ ПУНКТЫ (ШРП)</t>
  </si>
  <si>
    <t>Глава 1. ОСМОТР ТЕХНИЧЕСКОГО СОСТОЯНИЯ (ОБХОД)</t>
  </si>
  <si>
    <t>7.1.1</t>
  </si>
  <si>
    <t>Осмотр технического состояния ГРП при одной нитке газопровода (в зимний период в п. 7.1.1- 71.5)</t>
  </si>
  <si>
    <t>7.1.2</t>
  </si>
  <si>
    <t xml:space="preserve">Осмотр технического состояния ГРП при двух нитях газопровода </t>
  </si>
  <si>
    <t>форсунка</t>
  </si>
  <si>
    <t>Плита газовая и газобаллонная установка</t>
  </si>
  <si>
    <t>Водонагреватель проточный</t>
  </si>
  <si>
    <t>водонагреват</t>
  </si>
  <si>
    <t>10.2.55</t>
  </si>
  <si>
    <t>10.2.56</t>
  </si>
  <si>
    <t>10.2.57</t>
  </si>
  <si>
    <t>блок-кран</t>
  </si>
  <si>
    <t>Замена  блок-крана  КГИ - 56</t>
  </si>
  <si>
    <t>Снятие блок-крана КГИ - 56</t>
  </si>
  <si>
    <t>Установка  блок-крана КГИ - 56</t>
  </si>
  <si>
    <t>Замена газовой части блок-крана ВПГ</t>
  </si>
  <si>
    <t>Замена газовой части блок-крана КГИ - 56</t>
  </si>
  <si>
    <t>Снятие газовой  части блок-крана КГИ - 56</t>
  </si>
  <si>
    <t>Установка  газовой  части блок-крана КГИ - 56</t>
  </si>
  <si>
    <t>10.2.61</t>
  </si>
  <si>
    <t>10.2.62</t>
  </si>
  <si>
    <t>10.2.63</t>
  </si>
  <si>
    <t>10.2.67</t>
  </si>
  <si>
    <t>10.2.68</t>
  </si>
  <si>
    <t>10.2.69</t>
  </si>
  <si>
    <t>10.2.70</t>
  </si>
  <si>
    <t>штое</t>
  </si>
  <si>
    <t>запальник</t>
  </si>
  <si>
    <t>пластинка</t>
  </si>
  <si>
    <t>10.2.78</t>
  </si>
  <si>
    <t>10.2.79</t>
  </si>
  <si>
    <t>10.2.80</t>
  </si>
  <si>
    <t>теплообмен.</t>
  </si>
  <si>
    <t>10.2.81</t>
  </si>
  <si>
    <t>10.2.82</t>
  </si>
  <si>
    <t xml:space="preserve"> св. 100 мм</t>
  </si>
  <si>
    <t xml:space="preserve">Установка стальных задвижек диаметром  </t>
  </si>
  <si>
    <t>80 мм, 100 мм</t>
  </si>
  <si>
    <t>125 мм, 150 мм</t>
  </si>
  <si>
    <t>200 мм</t>
  </si>
  <si>
    <t>300 мм</t>
  </si>
  <si>
    <t>400 мм</t>
  </si>
  <si>
    <t>500  мм</t>
  </si>
  <si>
    <t>Установка чугунных задвижек диаметром</t>
  </si>
  <si>
    <t>Установка контрольного проводника на газопроводе</t>
  </si>
  <si>
    <t>Монтаж (обвязка) конденсатосборника</t>
  </si>
  <si>
    <t xml:space="preserve">Монтаж стальных фасонных частей диаметров до </t>
  </si>
  <si>
    <t>Устройство регулятора давления газа диаметром</t>
  </si>
  <si>
    <t>250 мм</t>
  </si>
  <si>
    <t>Определение полярности  омического падения потенциала между сооружением и вспомогательным  электродом сравнения</t>
  </si>
  <si>
    <t>Определение коррозийной агрессивности грунта плотности катодного тока</t>
  </si>
  <si>
    <t>Определение коррозийной агрессивности грунта по удельному электрическому сопротивлению в лабораторных условиях</t>
  </si>
  <si>
    <t xml:space="preserve">Разработка эскиза установки бытового счетчика газа на существующем газопроводе </t>
  </si>
  <si>
    <t>Составление исполнительной схемы стыков подземного газопровода при длине до 10 м</t>
  </si>
  <si>
    <t>10.1.6</t>
  </si>
  <si>
    <t>10.1.7</t>
  </si>
  <si>
    <t>Техническое  обслуживание  ГБУ, установленной  в  шкафу с  плитой  двухгорелочной  газовой</t>
  </si>
  <si>
    <t>10.1.8</t>
  </si>
  <si>
    <t>Техническое  обслуживание  ГБУ, установленной  в  шкафу с  плитой  трехгорелочной  газовой</t>
  </si>
  <si>
    <t>10.1.9</t>
  </si>
  <si>
    <t>Техническое  обслуживание  ГБУ, установленной  в  шкафу с  плитой  четырехгорелочной  газовой</t>
  </si>
  <si>
    <t>10.1.10</t>
  </si>
  <si>
    <t>Техническое  обслуживание  ГБУ</t>
  </si>
  <si>
    <t>10.1.11</t>
  </si>
  <si>
    <t>Техническое  обслуживание  проточного  автоматического водонагревателя</t>
  </si>
  <si>
    <t>10.1.12</t>
  </si>
  <si>
    <t>Техническое  обслуживание  проточного  полуавтоматического    водонагревателя</t>
  </si>
  <si>
    <t>10.1.13</t>
  </si>
  <si>
    <t>Техническое  обслуживание  емкостного  водонагревателя  типа АГВ-80,АГВ-120,АОГВ -4,АОГВ-6</t>
  </si>
  <si>
    <t xml:space="preserve"> Сверление отверстия на защитном футляре газопровода - ввода</t>
  </si>
  <si>
    <t>5.3.66</t>
  </si>
  <si>
    <t>5.3.67</t>
  </si>
  <si>
    <t xml:space="preserve"> Оповещение потребителей об отключении газа на период ремонтных работ (6 -15 домов на вводе)</t>
  </si>
  <si>
    <t>5.3.68</t>
  </si>
  <si>
    <t xml:space="preserve">Врезка или обрезка (с заглушкой) надземного газопровода низкого давления отключением давления  в сети при диаметре </t>
  </si>
  <si>
    <t xml:space="preserve">                                                               до 25 мм</t>
  </si>
  <si>
    <t xml:space="preserve">                                                                 32-40 мм</t>
  </si>
  <si>
    <t xml:space="preserve">                                                              50 мм</t>
  </si>
  <si>
    <t>51-100 мм</t>
  </si>
  <si>
    <t>101-200 мм</t>
  </si>
  <si>
    <t xml:space="preserve">201-300 мм </t>
  </si>
  <si>
    <t>св 300 мм</t>
  </si>
  <si>
    <t>(При врезке газопровода  заготовкой применить коэф. 1,3; при обрезке газопровода без установки заглушки применить коэф.0,7)</t>
  </si>
  <si>
    <t xml:space="preserve">Врезка газопровода низкого давления надземной прокладки под давлением в сети при диаметре до </t>
  </si>
  <si>
    <t>25 мм</t>
  </si>
  <si>
    <t>32-40 мм</t>
  </si>
  <si>
    <t>50 мм</t>
  </si>
  <si>
    <t xml:space="preserve">Присоединение (врезка)  муфтой вновь построенного наружного газопровода  к  действующему  при диаметре присоединяемого газопровода </t>
  </si>
  <si>
    <t>до 32 мм</t>
  </si>
  <si>
    <t>40-50 мм</t>
  </si>
  <si>
    <t>301-400 мм</t>
  </si>
  <si>
    <t>401-500 мм</t>
  </si>
  <si>
    <t>(При выполнении  работ по изоляции присоединения газопровода  применить коэф. 1,1)</t>
  </si>
  <si>
    <t xml:space="preserve">до 50 мм </t>
  </si>
  <si>
    <t>301-500 мм</t>
  </si>
  <si>
    <t xml:space="preserve">Обрезка внутридомового газопровода с установкой сварной заглушки при диаметре газопровода до </t>
  </si>
  <si>
    <t>32 мм</t>
  </si>
  <si>
    <t>Изоляция мест врезки или обрезки газопровода (без приготовления мастики) при диаметре до</t>
  </si>
  <si>
    <t>100 мм</t>
  </si>
  <si>
    <t>св. 500 мм</t>
  </si>
  <si>
    <t>Отключение (консервация) на летний период газового оборудования котельной с котлом средней мощности  (от1 до 5 Гкал/ч) с автоматикой (на каждый последующий котел применить коэф. 0,5)</t>
  </si>
  <si>
    <t>9.1.3.</t>
  </si>
  <si>
    <t>9.1.4.</t>
  </si>
  <si>
    <t>Ремонт дросселя магнитного усилителя неавтоматической катодной станции или поляризованного дренажа</t>
  </si>
  <si>
    <t>6.3.23</t>
  </si>
  <si>
    <t>6.3.24</t>
  </si>
  <si>
    <t>6.3.25</t>
  </si>
  <si>
    <t>6.3.26</t>
  </si>
  <si>
    <t>6.3.27</t>
  </si>
  <si>
    <t>6.3.28</t>
  </si>
  <si>
    <t>6.3.29</t>
  </si>
  <si>
    <t>6.3.30</t>
  </si>
  <si>
    <t>6.3.31</t>
  </si>
  <si>
    <t>6.3.32</t>
  </si>
  <si>
    <t>6.3.33</t>
  </si>
  <si>
    <t>6.3.34</t>
  </si>
  <si>
    <t>6.3.35</t>
  </si>
  <si>
    <t>6.3.36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</si>
  <si>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</si>
  <si>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</si>
  <si>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</si>
  <si>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</si>
  <si>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</si>
  <si>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</si>
  <si>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</si>
  <si>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</si>
  <si>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</si>
  <si>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</si>
  <si>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То же, при установке газовой плиты и проточного водонагревателя</t>
  </si>
  <si>
    <t>То же, при установке газовой плиты и проточного водонагревателя и отопительного аппарата</t>
  </si>
  <si>
    <t>То же, при установке только  проточного водонагревателя или отопительного аппарата</t>
  </si>
  <si>
    <t xml:space="preserve">Глава 2. ТЕХНИЧЕСКИЙ И КАПИТАЛЬНЫЙ РЕМОНТ РЕЗЕРВУАРНЫХ И ГАЗОБАЛЛОННЫХ </t>
  </si>
  <si>
    <t xml:space="preserve">Раздел 11. ИЗГОТОВЛЕНИЕ И РЕМОНТ ДЕТАЛЕЙ И ЗАПАСНЫХ ЧАСТЕЙ К ГАЗОВОМУ </t>
  </si>
  <si>
    <t>УЗК мест предпологаемых дефектов, выявленных АЭ-методом</t>
  </si>
  <si>
    <t>резервуар</t>
  </si>
  <si>
    <t>Сезонное отключение технологических горелок печей (агрегатов) промышленных или сельскохозяйственных предприятий</t>
  </si>
  <si>
    <t>9.1.16.</t>
  </si>
  <si>
    <t>9.1.17.</t>
  </si>
  <si>
    <t>Техническое обслуживание котельной с котлом средней мощности с автоматикой (на каждый последующий котел  применить коэф. 0,6)</t>
  </si>
  <si>
    <t>Техническое обслуживание котельной с котлом средней мощности без автоматики (на каждый последующий котел  применить коэф. 0,5)</t>
  </si>
  <si>
    <t>9.1.18.</t>
  </si>
  <si>
    <t>9.1.24.</t>
  </si>
  <si>
    <t>9.1.25.</t>
  </si>
  <si>
    <t>Технический надзор за строительством подземного газопровода (На каждые последующие 100 м применить коэф. 0,6; при повторном вызове в п. 4.1.1.-4.1.13 применить  коэф. 0,7)</t>
  </si>
  <si>
    <t>Инструктаж населения с выездом на место по правилам пользования газовой плитой (многоквартирный дом)</t>
  </si>
  <si>
    <t>То же, без смены башмака и ремонта вентеля</t>
  </si>
  <si>
    <t>Пуск в эксплуатацию  (расконсервация) газового оборудования  печей (агрегатов) сезонного действия промышленных или сельскохозяйственных производств</t>
  </si>
  <si>
    <t>печь</t>
  </si>
  <si>
    <t>5.3.25</t>
  </si>
  <si>
    <t>компенс-р</t>
  </si>
  <si>
    <t>5.3.26</t>
  </si>
  <si>
    <t>5.3.27</t>
  </si>
  <si>
    <t>Замена крышки малого ковера</t>
  </si>
  <si>
    <t>крышка</t>
  </si>
  <si>
    <t>5.3.28</t>
  </si>
  <si>
    <t>То же, большого ковера</t>
  </si>
  <si>
    <t>5.3.29</t>
  </si>
  <si>
    <t>ковер</t>
  </si>
  <si>
    <t>2,86</t>
  </si>
  <si>
    <t>5.3.30</t>
  </si>
  <si>
    <t>5.3.31</t>
  </si>
  <si>
    <t>8.2.32</t>
  </si>
  <si>
    <t>Ремонт баллонов емкостью 27 и 50 л со сменной башмака</t>
  </si>
  <si>
    <t>8.2.33</t>
  </si>
  <si>
    <t>Первичный пуск газа в газовое оборудование многоквартирного жилого дома при установке газовой плиты, бытового счетчика газа и количестве приборов на одном стояке  до 5</t>
  </si>
  <si>
    <t>нач.пто</t>
  </si>
  <si>
    <t>мастер смр</t>
  </si>
  <si>
    <t>слесарь смр 5 р</t>
  </si>
  <si>
    <t>Монтаж горизонтального анодного заземлителя из профильной стали, водогазопроводных труб и железнодорожных рельсов при длине до 6 м (на каждый последующий электрод применять коэф.0,25)</t>
  </si>
  <si>
    <t>То же, при забивке металлических электродов от 16 до 20</t>
  </si>
  <si>
    <t>То же, при забивке металлических электродов от 21 до 25</t>
  </si>
  <si>
    <t>То же, при забивке металлических электродов от 26 до 30</t>
  </si>
  <si>
    <t>При забивке  сверх 30 электродов на каждый последующий электрод применяется коэф. 0,02; составом работ апредусмотренно измерение разности потенциалов в одной точке при включенной и выключенной ПЗЛК, при большом количестве измерений в п. 5.3.1-5.3.5. применить цену по 5.1.3.)</t>
  </si>
  <si>
    <t>Установка катодной станции на постаменте</t>
  </si>
  <si>
    <t>монтаж и установка универсального блока современной защиты УБСЗ</t>
  </si>
  <si>
    <t>Установка контактного устройства на анодном заземлении в колодце</t>
  </si>
  <si>
    <t>Пооперационный контроль при строительстве средств защиты от электрохимической коррозии (при повторном вызове применить коэф. 0,8)</t>
  </si>
  <si>
    <t>Приемка в эксплуатацию шунтирующих перемычек</t>
  </si>
  <si>
    <t>Прием в эксплуатацию КИП</t>
  </si>
  <si>
    <t>Прием в эксплуатацию электрохимических устройств</t>
  </si>
  <si>
    <t>Прием в эксплуатацию изолирующих фланцевых соединений</t>
  </si>
  <si>
    <t xml:space="preserve">Проверка, регулировка и испытание под максимальной нагрузкой ЭЗУ в течении 6 часов на усиленном дренаже </t>
  </si>
  <si>
    <t>10.2.212</t>
  </si>
  <si>
    <t>10.2.213</t>
  </si>
  <si>
    <t>10.2.214</t>
  </si>
  <si>
    <t>10.2.215</t>
  </si>
  <si>
    <t>10.2.216</t>
  </si>
  <si>
    <t>10.2.217</t>
  </si>
  <si>
    <t>10.2.218</t>
  </si>
  <si>
    <t>10.2.219</t>
  </si>
  <si>
    <t>10.2.220</t>
  </si>
  <si>
    <t>10.2.221</t>
  </si>
  <si>
    <t>10.2.222</t>
  </si>
  <si>
    <t>10.2.223</t>
  </si>
  <si>
    <t>Замена сгона внутреннего газопровода диаметром</t>
  </si>
  <si>
    <t>до 25 мм</t>
  </si>
  <si>
    <t>св. 25 мм</t>
  </si>
  <si>
    <t>сгон</t>
  </si>
  <si>
    <t>Установление утечки газа в муфтовом соединении внутреннего газопровода диаметром до 50 мм</t>
  </si>
  <si>
    <t>Продувка и пуск дворового (подземного, надземного) газопрвода к жилому дому после отключения от газоснабжения</t>
  </si>
  <si>
    <t>Продувка  и пуск внутреннего газопровода в жилом доме индивидуальной застройки после отключения от газоснабжения</t>
  </si>
  <si>
    <t>Техническое  обслуживание  комбинированной бойлерной установки типа "Мора"</t>
  </si>
  <si>
    <t>10.1.24</t>
  </si>
  <si>
    <t>10 соед.</t>
  </si>
  <si>
    <t>Техническое обслуживание РДГК-6, РДГК-10</t>
  </si>
  <si>
    <t>7.2.10</t>
  </si>
  <si>
    <t>Технический ремонт РДГК-6, РДГК-10</t>
  </si>
  <si>
    <t>7.2.11</t>
  </si>
  <si>
    <t>Техническое обслуживание РДГД-20, РДНК-400, РДСК-50</t>
  </si>
  <si>
    <t>7.2.12</t>
  </si>
  <si>
    <t>Технический ремонт РДГД-20, РДНК-400, РДСК-50</t>
  </si>
  <si>
    <t>7.2.13</t>
  </si>
  <si>
    <t>Чистка крестовины регулятора РДГК-11</t>
  </si>
  <si>
    <t>операция</t>
  </si>
  <si>
    <t>7.2.14</t>
  </si>
  <si>
    <t>Регулятор хода штока регулятора РДГК-10</t>
  </si>
  <si>
    <t>7.2.15</t>
  </si>
  <si>
    <t>7.2.16</t>
  </si>
  <si>
    <t>7.2.17</t>
  </si>
  <si>
    <t>То же, внутри помещения ГРП</t>
  </si>
  <si>
    <t>7.2.18</t>
  </si>
  <si>
    <t xml:space="preserve">Включение ГРП после остановки </t>
  </si>
  <si>
    <t>7.2.19</t>
  </si>
  <si>
    <t>Продувка газопровода в ГРП</t>
  </si>
  <si>
    <t>7.2.20</t>
  </si>
  <si>
    <t>7.2.21</t>
  </si>
  <si>
    <t>7.2.22</t>
  </si>
  <si>
    <t>Проверка параметров срабатывания и настройки ПСК-50</t>
  </si>
  <si>
    <t>7.2.23</t>
  </si>
  <si>
    <t>Проверка параметров срабатывания и настройки ППК-80</t>
  </si>
  <si>
    <t>7.2.24</t>
  </si>
  <si>
    <t>Пневматическое испытание трубки электропроводки  в ГРП</t>
  </si>
  <si>
    <t>7.2.25</t>
  </si>
  <si>
    <t>Продувка импульсивных трубок в ГРП</t>
  </si>
  <si>
    <t>7.2.26</t>
  </si>
  <si>
    <t>продувкой газом или воздухом</t>
  </si>
  <si>
    <t>5.3.3</t>
  </si>
  <si>
    <t>Установка усилительной муфты с гофрой на стыке газопровода при диаметре газопровода до 100 мм</t>
  </si>
  <si>
    <t>муфта</t>
  </si>
  <si>
    <t>5.1.21</t>
  </si>
  <si>
    <t>То же, без покрытия</t>
  </si>
  <si>
    <t>5.1.22</t>
  </si>
  <si>
    <t xml:space="preserve">Техническое обслуживание отключающихся устройств и линзовых компенсаторов на подземном газопроводе при глубине колодца до 1 м и диаметре до 50 мм </t>
  </si>
  <si>
    <t>5.1.23</t>
  </si>
  <si>
    <t>То же, при глубине  колодца до 1 м и диаметре задвижки  до 150 мм</t>
  </si>
  <si>
    <t>5.1.24</t>
  </si>
  <si>
    <t xml:space="preserve">Техническое обслуживание отключающихся устройств и линзовых компенсаторов на подземном газопроводе при глубине колодца до 1 -3 м и диаметре до 51- 100 мм </t>
  </si>
  <si>
    <t>5.1.25</t>
  </si>
  <si>
    <t>То же, при диаметре крана  до 101-150 мм</t>
  </si>
  <si>
    <t>5.1.26</t>
  </si>
  <si>
    <t xml:space="preserve">Контроль представителя газового хозяйства за заменой диафрагмы при диаметре до 200 мм </t>
  </si>
  <si>
    <t>диафрагма</t>
  </si>
  <si>
    <t>То же, при диаметре св. 200 мм</t>
  </si>
  <si>
    <t>Раздел 14. ИНСТРУКТАЖ ДОЛЖНОСТНЫХ ЛИЦ И ПОТРЕБИТЕЛЕЙ ГАЗА</t>
  </si>
  <si>
    <t>14.1</t>
  </si>
  <si>
    <t>Настройка  электромагнитного  клапана  (ЭКМ) плиты.</t>
  </si>
  <si>
    <t>10.2.40</t>
  </si>
  <si>
    <t>Чистка  форсунки</t>
  </si>
  <si>
    <t>10.2.41</t>
  </si>
  <si>
    <t>Проверка, регулировка и испытание под максимальной нагрузкой ЭЗУ в течении 6 часов на поляризованном дренаже (на каждые последующие 6 часов в п.5.3.26-5.3.29 применить коэф. 0,7)</t>
  </si>
  <si>
    <t>Глава 2. ТЕХНИЧЕСКОЕ ОБСЛУЖИВАНИЕ ЭЛЕКТРОЗАЩИТНЫХ УСТРОЙСТВ</t>
  </si>
  <si>
    <t>6.2.1.</t>
  </si>
  <si>
    <t>Измерение разности потенциалов визуальными приборами. Место измерения "сооружение-сооружение"</t>
  </si>
  <si>
    <t>пункт измерения</t>
  </si>
  <si>
    <t>6.2.2.</t>
  </si>
  <si>
    <t>Измерение разности потенциалов визуальными приборами. Место измерения "рельс-земля"</t>
  </si>
  <si>
    <t>6.2.3.</t>
  </si>
  <si>
    <t>Измерение разности потенциалов визуальными приборами. Место измерения стальным или медно-сульфатным электродом "сооружение-земля"</t>
  </si>
  <si>
    <t>6.2.4.</t>
  </si>
  <si>
    <t>8 часов</t>
  </si>
  <si>
    <t>24 часов</t>
  </si>
  <si>
    <t>6.2.5.</t>
  </si>
  <si>
    <t>6.2.6.</t>
  </si>
  <si>
    <t xml:space="preserve">100 м </t>
  </si>
  <si>
    <t>6.2.8.</t>
  </si>
  <si>
    <t>6.2.7.</t>
  </si>
  <si>
    <t xml:space="preserve">Измерение разности потенциалов методом выносного электрода до 0,5 км подземного сооружения </t>
  </si>
  <si>
    <t>То же, при длине подземного сооружения св. 0,5 км</t>
  </si>
  <si>
    <t>Измерение разности потенциалов визуальными приборами между протектором и землей или в цели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</si>
  <si>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</si>
  <si>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</si>
  <si>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</si>
  <si>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</si>
  <si>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</si>
  <si>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при помощистыкомера</t>
  </si>
  <si>
    <t>6.2.12.</t>
  </si>
  <si>
    <t>То же, при помощи 2 милливольтметров</t>
  </si>
  <si>
    <t>6.2.13.</t>
  </si>
  <si>
    <t>6.2.14.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</si>
  <si>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</si>
  <si>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</si>
  <si>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</si>
  <si>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6.2.17.</t>
  </si>
  <si>
    <t>Измерение поляризованного потенциала с накопительным конденсатором на КИП, оборудованных МЭСД АКХ</t>
  </si>
  <si>
    <t>6.2.18.</t>
  </si>
  <si>
    <t>То же, не оборудованных МЭСД АКХ</t>
  </si>
  <si>
    <t>6.2.19.</t>
  </si>
  <si>
    <t>с заменой термопары и запальника</t>
  </si>
  <si>
    <t>с заменой ЗМК, крана, термопары и запальника</t>
  </si>
  <si>
    <t>11.1.70</t>
  </si>
  <si>
    <t>11.1.71</t>
  </si>
  <si>
    <t>Ремонт ЗМК клапана АГВ и других типов котлов</t>
  </si>
  <si>
    <t>ЗМК</t>
  </si>
  <si>
    <t>11.1.72</t>
  </si>
  <si>
    <t>Ремонт термопары АГВ</t>
  </si>
  <si>
    <t>11.1.73</t>
  </si>
  <si>
    <t>11.1.76</t>
  </si>
  <si>
    <t>11.1.80</t>
  </si>
  <si>
    <t>выполняет слесарь по эксплуатации и ремонту газового оборудования</t>
  </si>
  <si>
    <t>2. При техническом обслуживании плит повышенной комфортности или импортного производства</t>
  </si>
  <si>
    <t>в главах 1 и 2 настоящего раздела применять к цене коэф. 1,25</t>
  </si>
  <si>
    <t>10.2.83</t>
  </si>
  <si>
    <t>Замена водного регулятора Л-З</t>
  </si>
  <si>
    <t>Замена водного регулятора КГИ-56</t>
  </si>
  <si>
    <t>Замена водного регулятора ПГ-6</t>
  </si>
  <si>
    <t>крышки</t>
  </si>
  <si>
    <t>Снятие крышки водной части КГИ-56</t>
  </si>
  <si>
    <t>Установка крышки водной части КГИ-56</t>
  </si>
  <si>
    <t>Замена водной части КГИ-56</t>
  </si>
  <si>
    <t>Снятие водной части КГИ-56</t>
  </si>
  <si>
    <t>Установка водной части КГИ-56</t>
  </si>
  <si>
    <t>10.2.122</t>
  </si>
  <si>
    <t>Замена теплообменника КГИ-56</t>
  </si>
  <si>
    <t>Снятие теплообменника КГИ-56</t>
  </si>
  <si>
    <t>Установка  теплообменника  КГИ-56</t>
  </si>
  <si>
    <t>Замена трубок радиатора КГИ-56</t>
  </si>
  <si>
    <t>10.2.131</t>
  </si>
  <si>
    <t>Набивка сальника водного узла КГИ-56</t>
  </si>
  <si>
    <t>10.2.86</t>
  </si>
  <si>
    <t>Установка водяной части ВПГ</t>
  </si>
  <si>
    <t>10.2.90</t>
  </si>
  <si>
    <t>Замена теплообменника ВПГ</t>
  </si>
  <si>
    <t>10.2.91</t>
  </si>
  <si>
    <t>Снятие теплообменника ВПГ</t>
  </si>
  <si>
    <t>10.2.92</t>
  </si>
  <si>
    <t>Установка  теплообменника  ВПГ</t>
  </si>
  <si>
    <t>10.2.93</t>
  </si>
  <si>
    <t>Замена  сопла  основной  горелки</t>
  </si>
  <si>
    <t>10.2.94</t>
  </si>
  <si>
    <t>Замена  подводящей  трубки холодной  воды</t>
  </si>
  <si>
    <t>10.2.95</t>
  </si>
  <si>
    <t>Замена  отводящей  трубки горячей  воды</t>
  </si>
  <si>
    <t>10.2.97</t>
  </si>
  <si>
    <t>Замена трубки  запальника</t>
  </si>
  <si>
    <t>10.2.98</t>
  </si>
  <si>
    <t>газосв. 5 р.</t>
  </si>
  <si>
    <t>Проверка параметров срабатывания и настройки ПКН, ПЗК и КПЗ с диаметром до 100 мм</t>
  </si>
  <si>
    <t>Проверка параметров срабатывания и настройки РДУК с диаметром до 100 мм</t>
  </si>
  <si>
    <t>Техническое обслуживание радиостанции</t>
  </si>
  <si>
    <t>эл.газовс. уч-ка</t>
  </si>
  <si>
    <t>Ввинчивание вентелей в баллон сжиженного газа</t>
  </si>
  <si>
    <r>
      <t>Резервуары объемом от 1,8 до 10 м</t>
    </r>
    <r>
      <rPr>
        <b/>
        <vertAlign val="superscript"/>
        <sz val="12"/>
        <rFont val="Times New Roman"/>
        <family val="1"/>
      </rPr>
      <t>3</t>
    </r>
  </si>
  <si>
    <t>Ремонт питающего трансформатора блока управление неавтоматическойкатодной станции или полярного дренажа</t>
  </si>
  <si>
    <t>Ремонт импульсивного трансформатора блока управления ЭЗУ на сложных электронных схемах</t>
  </si>
  <si>
    <t>Ремонт импульсивного трансформатора блока управления неавтоматической катодной станции или поляризованного дренажа</t>
  </si>
  <si>
    <t>Ремонт силового трансформатора неавтоматической катодной станции или поляризованного дренажа</t>
  </si>
  <si>
    <t>печь (агрегат)</t>
  </si>
  <si>
    <t>Обучение персонала, занятого эксплуатацией бытового газового прибора, установленных на предприятии или в общественном администратином здании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</si>
  <si>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</si>
  <si>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</si>
  <si>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 и монтажом газового оборудования ГРУ и котельной или технологических печей предприятия</t>
  </si>
  <si>
    <t>4.1.9.</t>
  </si>
  <si>
    <t>4.1.10.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</si>
  <si>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</si>
  <si>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</si>
  <si>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</si>
  <si>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</si>
  <si>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</si>
  <si>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</si>
  <si>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</si>
  <si>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</si>
  <si>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</si>
  <si>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</si>
  <si>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</si>
  <si>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</si>
  <si>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</si>
  <si>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</si>
  <si>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Технический надзор за строительством фасадного, внутридомового газопровода и монтажом газового оборудования (до 3 приборов) в жилом доме  индивидуальной застройки  (При установке свыше 3 приборов применить коэф.1,4)</t>
  </si>
  <si>
    <t>Технический надзор за монтажом бытового газового счетчика</t>
  </si>
  <si>
    <t>Технический надзор при производстве земельных работ и строительстве вблизи действующего газопровода</t>
  </si>
  <si>
    <t>Проверка исполнительно-технической документации на построенный подземный газопровод (до 100 м) (В п. 4.1.15. и 4.1.16. на каждые последующие 100 м газопровода применить коэф. 0,5)</t>
  </si>
  <si>
    <t>Проверка исполнительно-технической документации на построенный надземный газопровод (до 100 м)</t>
  </si>
  <si>
    <t>Проверка исполнительно-технической документации на построенный подземный газопровод -  ввод(до 100 м)</t>
  </si>
  <si>
    <t>Проверка исполнительно-технической документации на построенный газорегуляторный пункт (При проверке документации на ГРУ применить коэф. 0,5)</t>
  </si>
  <si>
    <t>Проверка исполнительно-технической документации на построенный ШРП, РДГК, РДНК и др.</t>
  </si>
  <si>
    <t>Глава 2. ПРОВЕРКА СОСТОЯНИЯ ГАЗОПРООДА ПРИБОРНЫМ МЕТОДОМ КОНТРОЛЯ</t>
  </si>
  <si>
    <t>ПРИ СТРОИТЕЛЬНО-МОНТАЖНЫХ  РАБОТАХ</t>
  </si>
  <si>
    <t>4.2.1.</t>
  </si>
  <si>
    <t>4.2.3.</t>
  </si>
  <si>
    <t>4.2.4.</t>
  </si>
  <si>
    <t>4.2.5.</t>
  </si>
  <si>
    <t>Визуальный и измерительный контроль стального сварного соединения газопровода с составлением акта</t>
  </si>
  <si>
    <t>соед.</t>
  </si>
  <si>
    <t>4.2.8.</t>
  </si>
  <si>
    <t>Примечание: составление протокола по проведенным испытаниям, измерения и контролю включено в состав работ</t>
  </si>
  <si>
    <t>5.1.1</t>
  </si>
  <si>
    <t>Обход осмотр трассы подземного уличного газопровода</t>
  </si>
  <si>
    <t>5.1.2</t>
  </si>
  <si>
    <t>Обход осмотр трассы надземного уличного газопровода</t>
  </si>
  <si>
    <t>5.1.3</t>
  </si>
  <si>
    <t>Обход осмотр внутриквартирного и дворового газопровода</t>
  </si>
  <si>
    <t>Примечание: При техническом обслуживании трасс полиэтиленовых газопроводов и сооружений применяются цены настоящего прейскуранта по следующим пунктам: 5.1.1., 5.1.3., 5.1.5.-5.1.8., 5.1.13.-5.1.23., 5.1.30., 5.1.31.,5.1.35.-5,1.38.</t>
  </si>
  <si>
    <t>Оформление исполнительной документации на монтаж надземного газопровода</t>
  </si>
  <si>
    <t>Глава 1. ТЕХНИЧЕСКОЕ ОБСЛУЖИВАНИЕ</t>
  </si>
  <si>
    <t>5.1.29</t>
  </si>
  <si>
    <t>5.1.38. То же,   с выездом на место</t>
  </si>
  <si>
    <t>Установка указателя на трассе газопровода  (При выполнении работы на проезжей части улицы двумя исполнителями применить коэф. 2,0)</t>
  </si>
  <si>
    <r>
      <t xml:space="preserve">Оформление разрешения на производство земляных работ с выдачей привязок газопровода (без выезда на </t>
    </r>
    <r>
      <rPr>
        <sz val="12"/>
        <color indexed="8"/>
        <rFont val="Times New Roman"/>
        <family val="1"/>
      </rPr>
      <t>место)</t>
    </r>
  </si>
  <si>
    <t>Глава 2. ПРИБОРНОЕ ТЕХНИЧЕСКОЕ ОБСЛЕДОВАНИЕ ПОДЗЕМНЫХ ГАЗОПРОВОДОВ</t>
  </si>
  <si>
    <t>Глава 3. ТЕКУЩИЙ И КАПИТАЛЬНЫЙ РЕМОНТ ГАЗОПРОВОДОВ</t>
  </si>
  <si>
    <t>Обрезка недействующего газопровода (газового ввода) при диаметре газопровода до 100 мм</t>
  </si>
  <si>
    <t xml:space="preserve">Проверка на прочность и герметичность газопроводов-вводов при длине до 20 м (два ввода) и диаметре от 101 до 200 мм </t>
  </si>
  <si>
    <t>Глава 4.ДИАГНОСТИКА ТЕХНИЧЕСКОГО СОСТОЯНИЯ ПОДЗЕМНЫХ ГАЗОПРОВОДОВ</t>
  </si>
  <si>
    <t>5.4.1.</t>
  </si>
  <si>
    <t>Анализ технической документации и разработка программы диагностики</t>
  </si>
  <si>
    <t>программа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</si>
  <si>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</si>
  <si>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</si>
  <si>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</si>
  <si>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</si>
  <si>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</si>
  <si>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>проверка состояния изоляции на контакт с грунтом аппаратурой C-Scan</t>
  </si>
  <si>
    <t>5.4.5.</t>
  </si>
  <si>
    <t>Уточнение точечных мест повреждения изоляции аппаратурой АНПИ</t>
  </si>
  <si>
    <t>5.4.6.</t>
  </si>
  <si>
    <t>5.4.7.</t>
  </si>
  <si>
    <t>Определение мест контрольных шурфов</t>
  </si>
  <si>
    <t>Измерение свойств и внешнего вида изоляционного покрытия</t>
  </si>
  <si>
    <t>5.4.9.</t>
  </si>
  <si>
    <t>Проверка защитного поляризационного потенциала в шурфах</t>
  </si>
  <si>
    <t>5.4.10.</t>
  </si>
  <si>
    <t>Продувка и пуск внутреннего газопрвода в многоквартирном жилом доме после отключения от газоснабжения при количестве приборов на одном стояке до 5</t>
  </si>
  <si>
    <t>То же, при количестве приборов на одном стяке св. 5</t>
  </si>
  <si>
    <t>Отключение газового прибора с установкой заглушки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</si>
  <si>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</si>
  <si>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</si>
  <si>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25-40 мм</t>
  </si>
  <si>
    <t>Внешний осмотр (обход) технического состояния резервуарной установки (на каждую послед. Емкость в установке применить коэф. 0,7)</t>
  </si>
  <si>
    <t>подземная</t>
  </si>
  <si>
    <t>емкость</t>
  </si>
  <si>
    <t>8.1.8</t>
  </si>
  <si>
    <t xml:space="preserve">Внешний осмотр (обход) подземного газопровода от  резервуарной установки до ввода в дом </t>
  </si>
  <si>
    <t>8.1.9</t>
  </si>
  <si>
    <t>Техническое обслуживание резервуарной установки при одной редукционной головке в установке</t>
  </si>
  <si>
    <t>8.1.10</t>
  </si>
  <si>
    <t>То же, при двух редукционных головках</t>
  </si>
  <si>
    <t>8.1.11</t>
  </si>
  <si>
    <t>То же, при трех редукционных головках</t>
  </si>
  <si>
    <t>8.1.12</t>
  </si>
  <si>
    <t>СОДЕРЖАНИЕ</t>
  </si>
  <si>
    <t>Глава 3. МОНТАЖ ГАЗОВОГО ОБОРУДОВАНИЯ В ГРП (ГРУ, ШРП)</t>
  </si>
  <si>
    <t>Глава 1. ТЕХНИЧЕСКИЙ НАДЗОР ЗА СТРОИТЕЛЬСТВОМ ОБЪЕКТОВ ГАЗОРАСПРЕДЕЛИТЕЛЬНОЙ СИСТЕМЫ</t>
  </si>
  <si>
    <t>Глава 2. ПРОВЕРКА СОСТОЯНИЯ ГАЗОПРОВОДА ПРИБОРНЫМ МЕТОДОМ КОНТРОЛЯ</t>
  </si>
  <si>
    <t>Раздел 7. ГАЗОРЕГУЛЯТОРНЫЕ ПУНКТЫ (ГРП), ГАЗОРЕГУЛЯТОРНЫЕ УСТАНОВКИ (ГРУ)</t>
  </si>
  <si>
    <t xml:space="preserve">Глава 3. ДИАГНОСТИКА ТЕХНИЧЕСКОГО СОСТОЯНИЯ РЕЗЕРВУАРНЫХ УСТАНОВОК СУГ </t>
  </si>
  <si>
    <t>Глава 2. ТЕКУЩИЙ И КАПИТАЛЬНЫЙ РЕМОНТ</t>
  </si>
  <si>
    <t>ОБОРУДОВАНИЮ РЕМОНТ ГАЗОВОГО ОБОРУДОВАНИЯ, КИП И СРЕДСТВ АВТОМАТИКИ</t>
  </si>
  <si>
    <t xml:space="preserve">Глава 1. ИЗГОТОВЛЕНИЕ И РЕМОНТ ДЕТАЛЕЙ И ЗАПАСНЫХ ЧАСТЕЙ К ГАЗОВОМУ </t>
  </si>
  <si>
    <t>РЕМОНТ ГАЗОВОГО ОБОРУДОВАНИЯ ОБОРУДОВАНИЮ</t>
  </si>
  <si>
    <t>Ремонт электронного (электромагнитного) блока управления ЭЗУ при количестве заменяемых деталей                                                          до 2</t>
  </si>
  <si>
    <t>1. Техническое обслуживание электрохимзащиты газопровода от коррозии включает проверку эффективности работы защиты и технический осмотр ЭЗУ</t>
  </si>
  <si>
    <t>Внешний осмотр автоматической ЭЗУ с составлением дефектной ведомости</t>
  </si>
  <si>
    <t>Внешний осмотр неавтоматической ЭЗУ с составлением дефектной ведомости</t>
  </si>
  <si>
    <t>Ремонт импульсивного трансформатора электроизмерительного блока ЭЗУ на сложных электронных схемах</t>
  </si>
  <si>
    <t>Ремонт импульсивного трансформатора электроизмерительного блока неавтоматической катодной станции или поляризованного дренажа</t>
  </si>
  <si>
    <t>Ремонт силового трансформатора ЭЗУ на сложных электронных схемах</t>
  </si>
  <si>
    <t>Ремонт вентильных блоков на ЭЗУ при  количестве заменяемых диодов до двух</t>
  </si>
  <si>
    <t>дроссель</t>
  </si>
  <si>
    <t>Ремонт изолирующих фланцевых соединений с заменой изолирующей прокладки</t>
  </si>
  <si>
    <t>Изготовление панелей из стеклопластика или текстолита для дренажных установок всех типов и преобразователей катодных станции</t>
  </si>
  <si>
    <r>
      <t>Резервуары объеом от 50 до 100 м</t>
    </r>
    <r>
      <rPr>
        <b/>
        <vertAlign val="superscript"/>
        <sz val="12"/>
        <rFont val="Times New Roman"/>
        <family val="1"/>
      </rPr>
      <t>3</t>
    </r>
  </si>
  <si>
    <t>Установка медно-сульфатного элетродадлительного действия</t>
  </si>
  <si>
    <t>МЭД</t>
  </si>
  <si>
    <t>6.1.14.</t>
  </si>
  <si>
    <t>блок</t>
  </si>
  <si>
    <t>6.1.15.</t>
  </si>
  <si>
    <t>конт. устр.</t>
  </si>
  <si>
    <t>6.1.16.</t>
  </si>
  <si>
    <t>Установка контактного устройства на анодном заземлении в ковере</t>
  </si>
  <si>
    <t>6.1.17.</t>
  </si>
  <si>
    <t>Установка муфты на кабеле</t>
  </si>
  <si>
    <t>6.1.18.</t>
  </si>
  <si>
    <t>ЭЗУ</t>
  </si>
  <si>
    <t>6.1.19.</t>
  </si>
  <si>
    <t>Наладка катодных преобразователей на месте установки</t>
  </si>
  <si>
    <t>6.1.20.</t>
  </si>
  <si>
    <t>Наладка дренажной защиты наместе установки станции</t>
  </si>
  <si>
    <t>6.1.21.</t>
  </si>
  <si>
    <t>Пуск и наладка универсального блока современной защиты на месте установке</t>
  </si>
  <si>
    <t>6.1.22.</t>
  </si>
  <si>
    <t>6.1.23.</t>
  </si>
  <si>
    <t>6.1.24.</t>
  </si>
  <si>
    <t>6.1.25.</t>
  </si>
  <si>
    <t>КИП</t>
  </si>
  <si>
    <t>устройство</t>
  </si>
  <si>
    <t>6.1.26.</t>
  </si>
  <si>
    <t>6.1.27.</t>
  </si>
  <si>
    <t>Чистка  подводящих  трубок к  горелкам.</t>
  </si>
  <si>
    <t>10.2.42</t>
  </si>
  <si>
    <t>Чистка  горелки  духового  шкафа</t>
  </si>
  <si>
    <t>10.2.43</t>
  </si>
  <si>
    <t>Чистка  регулятора  подачи  воздуха</t>
  </si>
  <si>
    <t>10.2.44</t>
  </si>
  <si>
    <t>Ремонт  крана  плиты  или  крана  на опуске  с  притиркой.</t>
  </si>
  <si>
    <t>10.2.45</t>
  </si>
  <si>
    <t>Ремонт  двухконфорочной  портативной  плиты</t>
  </si>
  <si>
    <t>Первичный пуск газа в газовое оборудование многоквартирного жилого дома при установке газовой плиты и проточного водонагревателя, бытового счетчика газа и количестве приборов на одном стояке  до 10</t>
  </si>
  <si>
    <t>То же, при количестве приборов на одном стояке свыше 10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</si>
  <si>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</si>
  <si>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</si>
  <si>
    <t>Установка футляра на газопроводе в месте пересечения с теплотрассой с полной заливкой битумом при диаметре футляра</t>
  </si>
  <si>
    <t>Установка футляра на кабеле в месте пересечения газопровода с кабелем</t>
  </si>
  <si>
    <t>Заливка битумом футляра на газовом вводе</t>
  </si>
  <si>
    <t xml:space="preserve">Протаскивание в футляр газопровода диаметром </t>
  </si>
  <si>
    <t>до 100 мм</t>
  </si>
  <si>
    <t>датчик</t>
  </si>
  <si>
    <t>10.2.87</t>
  </si>
  <si>
    <t>10.2.88</t>
  </si>
  <si>
    <t>10.2.89</t>
  </si>
  <si>
    <t>термопара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</si>
  <si>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</si>
  <si>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</si>
  <si>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</si>
  <si>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</si>
  <si>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</si>
  <si>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</si>
  <si>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</si>
  <si>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</si>
  <si>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</si>
  <si>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</si>
  <si>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</si>
  <si>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</si>
  <si>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</si>
  <si>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</si>
  <si>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</si>
  <si>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3.40.</t>
  </si>
  <si>
    <t>.</t>
  </si>
  <si>
    <t>Первичный пуск газа в газовое оборудование котельной средней мощности с одним котлом  (от 1 до 5 Гкал/ч) с автоматикой</t>
  </si>
  <si>
    <t>Первичный пуск в эксплуатацию газового оборудования котельной с одним котлом  малой мощности с автоматикой  и ГРУ (на каждый последующий котел  применить  п. 3.20)</t>
  </si>
  <si>
    <t>Очистка газового фильтра ФВ  диаметром 50 мм</t>
  </si>
  <si>
    <t>7.2.27</t>
  </si>
  <si>
    <t>Очистка от конденсата газового оборудования ГРП диаметром 50 мм</t>
  </si>
  <si>
    <t>7.2.28</t>
  </si>
  <si>
    <t>Очистка от графита оборудования ГРП диаметром 50 мм</t>
  </si>
  <si>
    <t>7.2.29</t>
  </si>
  <si>
    <t>Техническое обслуживание телемеханических установок системы  Контур-21</t>
  </si>
  <si>
    <t>Ритм-1</t>
  </si>
  <si>
    <t>7.2.30</t>
  </si>
  <si>
    <t>7.3.1</t>
  </si>
  <si>
    <t>Замена клапана при ремонте регулятора давления типа</t>
  </si>
  <si>
    <t>РДУК-2-50, РДБК1-50, РДГ-50</t>
  </si>
  <si>
    <t>РДУК-2-100, РДБК1-100, РДГ-80</t>
  </si>
  <si>
    <t>РДУК-2-200, РДБК1-200, РДГ-150</t>
  </si>
  <si>
    <t>7.3.2</t>
  </si>
  <si>
    <t>Замена штока при ремонте регулятора давления типа</t>
  </si>
  <si>
    <t>шток</t>
  </si>
  <si>
    <t>7.3.3</t>
  </si>
  <si>
    <t>Замена седла при ремонте регулятора давления типа</t>
  </si>
  <si>
    <t>седло</t>
  </si>
  <si>
    <t>7.3.4</t>
  </si>
  <si>
    <t>Замена мембраны при ремонте регулятора давления типа</t>
  </si>
  <si>
    <t>мембрана</t>
  </si>
  <si>
    <t>7.3.5</t>
  </si>
  <si>
    <t xml:space="preserve">Замена пилотарегулятора давления ГРП при замене:  </t>
  </si>
  <si>
    <t>пружины</t>
  </si>
  <si>
    <t>пружина</t>
  </si>
  <si>
    <t>мембраны</t>
  </si>
  <si>
    <t>7.3.6</t>
  </si>
  <si>
    <t>Замена пружины предохронительно-запорного клапана ГРП при диаметре газопровода до 100 мм</t>
  </si>
  <si>
    <t>7.3.7</t>
  </si>
  <si>
    <t xml:space="preserve">То же, при диаметре  газопровода 101-200 мм </t>
  </si>
  <si>
    <t>7.3.8</t>
  </si>
  <si>
    <t>Замена мембраны предохранительно-запорного клапана ГРП при диаметре газопровода  до 100 мм</t>
  </si>
  <si>
    <t>7.3.9</t>
  </si>
  <si>
    <t>7.3.10</t>
  </si>
  <si>
    <t>Замена  клапана предохранительно-запорного клапана ГРП при диаметре газопровода до 100 мм</t>
  </si>
  <si>
    <t>7.3.11</t>
  </si>
  <si>
    <t>7.3.12</t>
  </si>
  <si>
    <t>Ремонт пружинного сбросного клапана ГРП при замене:</t>
  </si>
  <si>
    <t xml:space="preserve">пружины </t>
  </si>
  <si>
    <t>резинового уплотнителя</t>
  </si>
  <si>
    <t>7.3.13</t>
  </si>
  <si>
    <t>Ревизия фильтра типа ФВ диаметром 50 мм</t>
  </si>
  <si>
    <t>7.3.14</t>
  </si>
  <si>
    <t>Ревизия фильтра типа ФСдиаметром 50 мм</t>
  </si>
  <si>
    <t>7.3.15</t>
  </si>
  <si>
    <t>Маслянная окраска молниеприемника и токоотводов ГРП:</t>
  </si>
  <si>
    <t>м2 окраш.</t>
  </si>
  <si>
    <t>при одной окраске</t>
  </si>
  <si>
    <t>поверх.</t>
  </si>
  <si>
    <t>при двух окрасках</t>
  </si>
  <si>
    <t>7.3.16</t>
  </si>
  <si>
    <t>Замена регулятора давления ШРП с регулятором типа            РД-32М</t>
  </si>
  <si>
    <t>РД-50М</t>
  </si>
  <si>
    <t>7.3.17</t>
  </si>
  <si>
    <t>Ремонт регулятора давления РД-32 при замене пружины</t>
  </si>
  <si>
    <t>7.3.18</t>
  </si>
  <si>
    <t>Ремонт регулятора давления РД-50 при замене пружины</t>
  </si>
  <si>
    <t>7.3.19</t>
  </si>
  <si>
    <t>Техническое обслуживание плиты однагорелочной  газовой</t>
  </si>
  <si>
    <t>10.1</t>
  </si>
  <si>
    <t>Радиографический контроль прибором АРИНА-0,5-2М стального -сварного соединения газопровода  диаметром до 100 мм</t>
  </si>
  <si>
    <t>101-300 мм</t>
  </si>
  <si>
    <t>св 500 мм</t>
  </si>
  <si>
    <t>Ультразвуковой контроль дефектоскопом КСП-1,03 сварных  соединений полиэтиленового газопровода диаметром 63 мм</t>
  </si>
  <si>
    <t>110 мм</t>
  </si>
  <si>
    <t>160 мм</t>
  </si>
  <si>
    <t>225 мм</t>
  </si>
  <si>
    <t>4.1.1.</t>
  </si>
  <si>
    <t>100 м</t>
  </si>
  <si>
    <t>4.1.2.</t>
  </si>
  <si>
    <t>4.1.3.</t>
  </si>
  <si>
    <t>4.1.4.</t>
  </si>
  <si>
    <t>ввод</t>
  </si>
  <si>
    <t>4.1.5.</t>
  </si>
  <si>
    <t>Примечание- Работа по разделу 8 (глава 1-3) выполняет слесарь по эксплуатации и ремонту газового оборудования.</t>
  </si>
  <si>
    <t>8.2.1</t>
  </si>
  <si>
    <t>Ремонт регулятора давления газа типа РД групповой баллонной установки при замене мембраны</t>
  </si>
  <si>
    <t>8.2.2</t>
  </si>
  <si>
    <t>То же, при замене пружины</t>
  </si>
  <si>
    <t>8.2.3</t>
  </si>
  <si>
    <t xml:space="preserve">Замена регулятора давления типа РД групповой баллонной установки </t>
  </si>
  <si>
    <t>8.2.4</t>
  </si>
  <si>
    <t>8.2.5</t>
  </si>
  <si>
    <t>Замена предохранительного клапана типа ПКК-40М  редукционной головки резервуара</t>
  </si>
  <si>
    <t>8.2.15</t>
  </si>
  <si>
    <t>Замена регулятора давления газа (РД-32, РД-32М)   редукционной головки резервуара емкости  до 10 м3</t>
  </si>
  <si>
    <t>8.2.16</t>
  </si>
  <si>
    <t>Замена трехходового крана  редукционной головки резервуара емкостью  до 10 м3</t>
  </si>
  <si>
    <t>8.2.17</t>
  </si>
  <si>
    <t>Замена манометра   редукционной головки резервуара емкостью до 10 м3</t>
  </si>
  <si>
    <t>8.2.18</t>
  </si>
  <si>
    <t>Замена  натяжного (муфтового)крана диаметром 32 мм  редукционной головки резервуара емкостью до 10 м3</t>
  </si>
  <si>
    <t>8.2.19</t>
  </si>
  <si>
    <t>Замена лабораторного крана  редукционной головки резервуара емкостью  до 10 м3</t>
  </si>
  <si>
    <t>8.2.20</t>
  </si>
  <si>
    <t>Замена сливной набивки  на задвижке   редукционной установки сжиженного газа</t>
  </si>
  <si>
    <t>сальник</t>
  </si>
  <si>
    <t>8.2.21</t>
  </si>
  <si>
    <t>Замена   электронагревателя типа ИП</t>
  </si>
  <si>
    <t>эл. нагрев.</t>
  </si>
  <si>
    <t>8.2.22</t>
  </si>
  <si>
    <t>Окраска кожуха и арматуры редукционной головки</t>
  </si>
  <si>
    <t>ред. голова</t>
  </si>
  <si>
    <t>8.2.23</t>
  </si>
  <si>
    <t>Замена прокладок уплотнителя клапана  регулятора  давления  газа типа РД-32, РД-32М</t>
  </si>
  <si>
    <t>8.2.24</t>
  </si>
  <si>
    <t>Замена шкафа газобаллонной установки при количестве баллонов в шкафу до 2</t>
  </si>
  <si>
    <t>шкаф</t>
  </si>
  <si>
    <t>8.2.25</t>
  </si>
  <si>
    <t>8.2.26</t>
  </si>
  <si>
    <t>То же, при количестве балонов в шкафу 5-6</t>
  </si>
  <si>
    <t>9.2.3.</t>
  </si>
  <si>
    <t>Текущий ремонт газового оборудования котельной средней мощности  с автоматикой (на каждый последующий котел  применить коэф. 0,25)</t>
  </si>
  <si>
    <t>9.2.4.</t>
  </si>
  <si>
    <t>9.2.5.</t>
  </si>
  <si>
    <t>соединение</t>
  </si>
  <si>
    <t>Отключение (консервация) на летний период газового оборудования котельной с котлом средней мощности  (от 1 до 5 Гкал/ч) без автоматики (на каждый последующий котел применить коэф. 0,4)</t>
  </si>
  <si>
    <t>9.1.5.</t>
  </si>
  <si>
    <t>9.1.6.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</si>
  <si>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 (на каждый последующий аппарат применить коэф. 0,75)</t>
  </si>
  <si>
    <t>9.1.7.</t>
  </si>
  <si>
    <t>То же, без автоматического устройства (на каждый последующий аппарат применить коэф. 0,75)</t>
  </si>
  <si>
    <t>9.1.8.</t>
  </si>
  <si>
    <t>9.1.9.</t>
  </si>
  <si>
    <t>Пуск в эксплуатацию (расконсервация) котельной с котлом малой мощности с автоматикой  после отключения на летний период (на каждый последующий аппарат применить коэф. 0,3)</t>
  </si>
  <si>
    <t>9.1.10.</t>
  </si>
  <si>
    <t>Пуск в эксплуатацию (расконсервация) котельной с котлом малой мощности без  автоматикой  после отключения на летний период (на каждый последующий аппарат применить коэф. 0,4)</t>
  </si>
  <si>
    <t>Пуск в эксплуатацию (расконсервация) котельной с котлом средней мощности с автоматикой  после отключения на летний период (на каждый последующий аппарат применить коэф. 0,4)</t>
  </si>
  <si>
    <t>Установка  электророзжига  при гибкой  прицепке.</t>
  </si>
  <si>
    <t>10.2.28</t>
  </si>
  <si>
    <t>Замена    электророзжига  при   жесткой  прицепке.</t>
  </si>
  <si>
    <t>10.2.29</t>
  </si>
  <si>
    <t>Снятие     электророзжига  при   жесткой  прицепке.</t>
  </si>
  <si>
    <t>10.2.30</t>
  </si>
  <si>
    <t>Установка  электророзжига  при   жесткой  прицепке.</t>
  </si>
  <si>
    <t>10.2.31</t>
  </si>
  <si>
    <t>Замена  разрядника  блока пьезорозжига</t>
  </si>
  <si>
    <t>10.2.32</t>
  </si>
  <si>
    <t>Замена  терморегулятора    плиты "Брест"</t>
  </si>
  <si>
    <t>10.2.33</t>
  </si>
  <si>
    <t>Замена   подвода  малого  и  большого  газопровода  к плите</t>
  </si>
  <si>
    <t>10.2.34</t>
  </si>
  <si>
    <t>Установка  гибкого шланга</t>
  </si>
  <si>
    <t>10.2.35</t>
  </si>
  <si>
    <t>Регулировка горения  газа  с калибровкой  отверстия  форсунки плиты.</t>
  </si>
  <si>
    <t>10.2.36</t>
  </si>
  <si>
    <t>Регулировка горения горелок духового шкафа плиты</t>
  </si>
  <si>
    <t>10.2.37</t>
  </si>
  <si>
    <t>Прочистка  , калибровка  сопла  горелки  плиты.</t>
  </si>
  <si>
    <t>10.2.38</t>
  </si>
  <si>
    <t>Настройка  терморегулятора</t>
  </si>
  <si>
    <t>10.2.39</t>
  </si>
  <si>
    <t>2.2.22.</t>
  </si>
  <si>
    <t>2.2.23.</t>
  </si>
  <si>
    <t>2.2.24.</t>
  </si>
  <si>
    <t>переход</t>
  </si>
  <si>
    <t>2.2.25.</t>
  </si>
  <si>
    <t>опора</t>
  </si>
  <si>
    <t>2.2.26.</t>
  </si>
  <si>
    <t>2.2.27.</t>
  </si>
  <si>
    <t>2.2.28.</t>
  </si>
  <si>
    <t>крепления</t>
  </si>
  <si>
    <t>2.2.29.</t>
  </si>
  <si>
    <t>отверстие</t>
  </si>
  <si>
    <t>1.4.1.</t>
  </si>
  <si>
    <t>Разработка проекта газоснабжения индивидуальной бани, теплицы, гаража, летней кухни</t>
  </si>
  <si>
    <t>1.4.2.</t>
  </si>
  <si>
    <t>1.4.3.</t>
  </si>
  <si>
    <t>Составление рабочего проекта на установку газовой плиты от индивидуальной газобаллонной установки с размещением установки в шкафу</t>
  </si>
  <si>
    <t>1.4.4.</t>
  </si>
  <si>
    <t>Выдача консультаций по вопросам газоснабжения жилого дома, бани, летней кухни и др. объектов при установке бытовых  приборов</t>
  </si>
  <si>
    <t>консультация</t>
  </si>
  <si>
    <t>Выдача консультаций по вопросам газоснабжения предприятия или  котельной</t>
  </si>
  <si>
    <t>ПРИМЕЧАНИЕ:</t>
  </si>
  <si>
    <t>Раздел 1. ПРЕДПРОЕКТНЫЕ И ПРОЕКТНЫЕ РАБОТЫ</t>
  </si>
  <si>
    <t>Определение опасного действия переменного тока</t>
  </si>
  <si>
    <t>6.2.20.</t>
  </si>
  <si>
    <t>6.2.21.</t>
  </si>
  <si>
    <t>Раздел 12. ХИМИЧЕСКИЕ АНАЛИЗЫ</t>
  </si>
  <si>
    <t>Раздел 13. УЧЕТ РАСХОДА ГАЗА</t>
  </si>
  <si>
    <t>13.1</t>
  </si>
  <si>
    <t>13.2</t>
  </si>
  <si>
    <t>13.3</t>
  </si>
  <si>
    <t>13.4</t>
  </si>
  <si>
    <t>инж.пто</t>
  </si>
  <si>
    <t>Ремонт  автоматики  горелки  отопительного  аппарата</t>
  </si>
  <si>
    <t>Очистка стабилизатора  тяги  от сажи</t>
  </si>
  <si>
    <t>Очистка от сажи отопительного  котла</t>
  </si>
  <si>
    <t>Очистка от накипи бака  отопительного котла</t>
  </si>
  <si>
    <t xml:space="preserve">Проверка плотности бака после сварочных  работ </t>
  </si>
  <si>
    <t>Очистка  рожков  горелки   от сажи</t>
  </si>
  <si>
    <t>Чистка форсунки запальника</t>
  </si>
  <si>
    <t>Старая Цена для предприятий                  (с НДС)</t>
  </si>
  <si>
    <t>Определение наличия блуждающих токов в земле при измерении "земля-земля"</t>
  </si>
  <si>
    <t>6.2.22.</t>
  </si>
  <si>
    <t>6.2.23.</t>
  </si>
  <si>
    <t>Определение наличия блуждающих токов в земле при измерении "земля-металическое сооружение"</t>
  </si>
  <si>
    <t>6.2.24.</t>
  </si>
  <si>
    <t>6.2.25.</t>
  </si>
  <si>
    <t>Определение величины и направления тока в трубопроводе</t>
  </si>
  <si>
    <t>измерение</t>
  </si>
  <si>
    <t>6.2.26.</t>
  </si>
  <si>
    <t>6.2.27.</t>
  </si>
  <si>
    <t>Проверка исправности электроперемычек с выдачей заключения</t>
  </si>
  <si>
    <t>6.2.28.</t>
  </si>
  <si>
    <t>Притирка газового крана диаметром до        15 мм</t>
  </si>
  <si>
    <t>Смазка газового крана диаметром до          15 мм</t>
  </si>
  <si>
    <t>Обследование газового прибора на его пригодность к эксплуатации</t>
  </si>
  <si>
    <t>Примечание - "Вызов слесаря" включает время на прием заявки диспетчером и проезд (переход) к объекту.</t>
  </si>
  <si>
    <t>11.1.42</t>
  </si>
  <si>
    <t>11.1.43</t>
  </si>
  <si>
    <t>11.1.44</t>
  </si>
  <si>
    <t>11.1.45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</si>
  <si>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</si>
  <si>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</si>
  <si>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</si>
  <si>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</si>
  <si>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</si>
  <si>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</si>
  <si>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</si>
  <si>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</si>
  <si>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</si>
  <si>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</si>
  <si>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11.1.58</t>
  </si>
  <si>
    <t>11.1.59</t>
  </si>
  <si>
    <t>11.1.64</t>
  </si>
  <si>
    <t>Изготовление термопары АВГ</t>
  </si>
  <si>
    <t>11.1.65</t>
  </si>
  <si>
    <t>Изготовление головки запальника АГВ и других типов котлов</t>
  </si>
  <si>
    <t>гол.зап.</t>
  </si>
  <si>
    <t>11.1.66</t>
  </si>
  <si>
    <t>Изготовление рамки отопительной горелки</t>
  </si>
  <si>
    <t>рамка</t>
  </si>
  <si>
    <t>11.1.67</t>
  </si>
  <si>
    <t>Полная замена огневой камеры радиатора</t>
  </si>
  <si>
    <t>11.1.68</t>
  </si>
  <si>
    <t>Ремонт огневой камеры (установка заплаты)</t>
  </si>
  <si>
    <t>термрег.</t>
  </si>
  <si>
    <t>Ремонт электромагнитной катушки ГК-17М</t>
  </si>
  <si>
    <t>11.1.74</t>
  </si>
  <si>
    <t>11.1.75</t>
  </si>
  <si>
    <t>вытяжка</t>
  </si>
  <si>
    <t>зонт</t>
  </si>
  <si>
    <t>Газовые горелки для отопительных печей</t>
  </si>
  <si>
    <t>11.1.107</t>
  </si>
  <si>
    <t>Изготовление чистки для дымоходов</t>
  </si>
  <si>
    <t>чистка</t>
  </si>
  <si>
    <t>эл.газосв 4 р</t>
  </si>
  <si>
    <t>То же, индивидуальной бани (теплица, гараж, летней кухни)</t>
  </si>
  <si>
    <t xml:space="preserve">Первичный пуск газа в ГРП (ГРУ) при одной нитке газопровода </t>
  </si>
  <si>
    <t>Первичный пуск газа в ГРП (ГРУ) при двух нитках газопровода (При трех нитках применять коэф. 1,3)</t>
  </si>
  <si>
    <t>Первичный пуск газа в ШРП при одной нитке газопровода</t>
  </si>
  <si>
    <t>Первичный пуск газа в ШРП при двух нитках газопровода</t>
  </si>
  <si>
    <t>Первичный пуск газа в групповую подземную установку</t>
  </si>
  <si>
    <t>Первичный пуск подземного газопровода к предприятию</t>
  </si>
  <si>
    <t>Первичный пуск надземного газопровода  к предприятию</t>
  </si>
  <si>
    <t>Первичный пуск газа в газовое оборудование котельной малой мощности с одним котлом  (до 1 Гкал/ч) с автоматикой</t>
  </si>
  <si>
    <t>Первичный пуск каждого последующего котла малой мощности с автоматикой</t>
  </si>
  <si>
    <t>То же без автоматики</t>
  </si>
  <si>
    <t>Первичный пуск каждого последующего котла средней мощности с автоматикой</t>
  </si>
  <si>
    <t>Пуско-наладочные работы по вводу в эксплуатацию горелок инфракрасного излучения</t>
  </si>
  <si>
    <t>Врезка приспособлением ВПГ под газом вновь построенного наружного газопровода высокого  (среднего) давления при диаметре  присоединяемого газопровода  до 150 мм  (при выполнении работ по изоляции присоединения газопровода применить коэф. 1.1)</t>
  </si>
  <si>
    <t>Установка баллона для сниженного газа в кухне</t>
  </si>
  <si>
    <t>Монтаж, наладка и пуск комплекса системы контроля загазованности (СИГЗ)</t>
  </si>
  <si>
    <t xml:space="preserve">Первичный пуск в эксплуатацию надземного газопровода </t>
  </si>
  <si>
    <t>Первичный пус газа в технологическую газоиспользующую установку предприятия</t>
  </si>
  <si>
    <t>Проверка, регулировка и испытание под максимальной нагрузкой усиленного дренажа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</si>
  <si>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</si>
  <si>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</si>
  <si>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</si>
  <si>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коррозийного состояния подземного газопровода с помощью передвижной лаборатории</t>
  </si>
  <si>
    <t>Примечания</t>
  </si>
  <si>
    <t>2. Работа по электрохимической защите газопроводов от коррозии выполняет монтер по защите подземных трубопроводов от коррозии</t>
  </si>
  <si>
    <t>Глава 3. ТЕКУЩИЙ И КАПИТАЛЬНЫЙ РЕМОНТ</t>
  </si>
  <si>
    <t>Демонтаж установки усиленного дренажа при массе  до 100 кг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</si>
  <si>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</si>
  <si>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</si>
  <si>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</si>
  <si>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</si>
  <si>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</si>
  <si>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</si>
  <si>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</si>
  <si>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</si>
  <si>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Замена участка фасадного газопровода  (врезка катушки) при диаметре газопровода до 50 мм</t>
  </si>
  <si>
    <t>5.3.7</t>
  </si>
  <si>
    <t>Обрезка участка фасадного газопровода диаметром до 50 мм</t>
  </si>
  <si>
    <t>5.3.8</t>
  </si>
  <si>
    <t>5.3.9</t>
  </si>
  <si>
    <t>ОБОРУДОВАНИЮ,  РЕМОНТ ГАЗОВОГО ОБОРУДОВАНИЯ, КИП И СРЕДСТВ АВТОМАТИКИ</t>
  </si>
  <si>
    <t>Ремонт электроизмерительного блока  на автоматической ЭЗУ при количестве заменяемых деталей блока                                                        до 2</t>
  </si>
  <si>
    <t>6.3.20</t>
  </si>
  <si>
    <t>6.3.21</t>
  </si>
  <si>
    <t>6.3.22</t>
  </si>
  <si>
    <t>То же, при установке проточного водонагревателя ( При установке двух  водонагревателей применить коэф. 1,8; при установке бытового счетчика газа применить коэф. 1,05)</t>
  </si>
  <si>
    <t>Глава 4. МОНТАЖ БЫТОВЫХ ГАЗОВЫХ ПРИБОРОВ И ОБОРУДОВАНИЯ</t>
  </si>
  <si>
    <t>Водонагреватель емкостной</t>
  </si>
  <si>
    <t>Баллонные установки СУГ</t>
  </si>
  <si>
    <t>4.1.6.</t>
  </si>
  <si>
    <t>4.1.7.</t>
  </si>
  <si>
    <t>Изготовление трубки к запальнику ГПТ-2М</t>
  </si>
  <si>
    <t>11.1.84</t>
  </si>
  <si>
    <t>Изготовление обвязки редуктора  с баллоном</t>
  </si>
  <si>
    <t xml:space="preserve">обвязка  </t>
  </si>
  <si>
    <t>11.1.85</t>
  </si>
  <si>
    <t>Изготовление мембраны для 50 -литровых балонов</t>
  </si>
  <si>
    <t>11.1.88</t>
  </si>
  <si>
    <t>хомут</t>
  </si>
  <si>
    <t>10.1.5</t>
  </si>
  <si>
    <t>Поднятие и опускание большого ковера при асфальто бетонном покрытии</t>
  </si>
  <si>
    <t>5.3.32</t>
  </si>
  <si>
    <t xml:space="preserve"> То же, без покрытия</t>
  </si>
  <si>
    <t>5.3.33</t>
  </si>
  <si>
    <t>5.3.34</t>
  </si>
  <si>
    <t>5.3.35</t>
  </si>
  <si>
    <t>Окраска ковера</t>
  </si>
  <si>
    <t>5.3.36</t>
  </si>
  <si>
    <t>Замена крышки газового колодца</t>
  </si>
  <si>
    <t>5.3.37</t>
  </si>
  <si>
    <t>люк</t>
  </si>
  <si>
    <t>5.3.38</t>
  </si>
  <si>
    <t>5.3.39</t>
  </si>
  <si>
    <t>перекрытие</t>
  </si>
  <si>
    <t>5.3.40</t>
  </si>
  <si>
    <t>5.3.41</t>
  </si>
  <si>
    <t>Ремонт футляра на надземном газопроводе</t>
  </si>
  <si>
    <t>10.2.135</t>
  </si>
  <si>
    <t>Закрепление  водонагревателя</t>
  </si>
  <si>
    <t>10.2.136</t>
  </si>
  <si>
    <t>Замена  емкостного  водонагревателя  без  изменения  подводки  с пуском  газа и регулировкой  работы  прибора (аппарата)</t>
  </si>
  <si>
    <t>10.2.137</t>
  </si>
  <si>
    <t>Демонтаж  котла  с  установкой  заглушки</t>
  </si>
  <si>
    <t>10.2.138</t>
  </si>
  <si>
    <t>Демонтаж  горелки  отопительного котла (печи) с установкой  заглушки</t>
  </si>
  <si>
    <t>10.2.139</t>
  </si>
  <si>
    <t>Замена горелки  отопительного  котла.</t>
  </si>
  <si>
    <t>10.2.141</t>
  </si>
  <si>
    <t>Замена газовой  печной  горелки</t>
  </si>
  <si>
    <t>10.2.142</t>
  </si>
  <si>
    <t>Предустановочный контроль оборудования преобразователей катодной установки на сложных электронных схемах</t>
  </si>
  <si>
    <t>Предустановочный контроль оборудования преобразователей неавтоматической катодной станции</t>
  </si>
  <si>
    <t>9.1.11.</t>
  </si>
  <si>
    <t>То же, при бурении скважин вручную</t>
  </si>
  <si>
    <t>5.1.19</t>
  </si>
  <si>
    <t>Буровой осмотр газопровода без покрытия при бурении скважин вручную</t>
  </si>
  <si>
    <t>5.1.20</t>
  </si>
  <si>
    <t>Шурфовой осмотр газопровода с асфальто-бетонны покрытием</t>
  </si>
  <si>
    <t>шурф</t>
  </si>
  <si>
    <t>Снятие и прочистка трубок радиатора КГИ-56 с корректировкой резбы</t>
  </si>
  <si>
    <t>Установка трубок радиатора КГИ-56</t>
  </si>
  <si>
    <t>Нарезка  резьбовых  соединений  водяной  части ВПГ или КГИ</t>
  </si>
  <si>
    <t>Крепление корпуса горелки КГИ</t>
  </si>
  <si>
    <t>10.2.173</t>
  </si>
  <si>
    <t>10.2.178</t>
  </si>
  <si>
    <t>10.2.179</t>
  </si>
  <si>
    <t>10.2.180</t>
  </si>
  <si>
    <t>10.2.181</t>
  </si>
  <si>
    <t>10.2.182</t>
  </si>
  <si>
    <t>10.2.183</t>
  </si>
  <si>
    <t>10.2.184</t>
  </si>
  <si>
    <t>10.2.185</t>
  </si>
  <si>
    <t>10.2.186</t>
  </si>
  <si>
    <t>10.2.187</t>
  </si>
  <si>
    <t>10.2.188</t>
  </si>
  <si>
    <t>10.2.189</t>
  </si>
  <si>
    <t>10.2.190</t>
  </si>
  <si>
    <t>10.2.191</t>
  </si>
  <si>
    <t>10.2.192</t>
  </si>
  <si>
    <t>10.2.193</t>
  </si>
  <si>
    <t>10.2.194</t>
  </si>
  <si>
    <t>10.2.195</t>
  </si>
  <si>
    <t>10.2.196</t>
  </si>
  <si>
    <t>10.2.197</t>
  </si>
  <si>
    <t>Ремонт бака отопительного котла</t>
  </si>
  <si>
    <t>Агрегат "Lennox"</t>
  </si>
  <si>
    <t>10.2.198</t>
  </si>
  <si>
    <t>Техническая диагностика неисправности агрегата</t>
  </si>
  <si>
    <t>10.2.199</t>
  </si>
  <si>
    <t>10.2.200</t>
  </si>
  <si>
    <t>10.2.201</t>
  </si>
  <si>
    <t>10.2.202</t>
  </si>
  <si>
    <t>10.2.203</t>
  </si>
  <si>
    <t>10.2.204</t>
  </si>
  <si>
    <t>10.2.205</t>
  </si>
  <si>
    <t>10.2.206</t>
  </si>
  <si>
    <t>10.2.207</t>
  </si>
  <si>
    <t>То же, без замены фильтра</t>
  </si>
  <si>
    <t>Замена датчика пламени</t>
  </si>
  <si>
    <t>10.2.208</t>
  </si>
  <si>
    <t>10.2.209</t>
  </si>
  <si>
    <t>10.2.210</t>
  </si>
  <si>
    <t>Прочие работы</t>
  </si>
  <si>
    <t xml:space="preserve">Замена газового крана на газопроводе диаметром </t>
  </si>
  <si>
    <t xml:space="preserve"> до 32 мм</t>
  </si>
  <si>
    <t>Оценка состояния металла. Выявление участков с аномалией труб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</si>
  <si>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</si>
  <si>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</si>
  <si>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</si>
  <si>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</si>
  <si>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</si>
  <si>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</si>
  <si>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</si>
  <si>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</si>
  <si>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СИГЗ</t>
  </si>
  <si>
    <t>2.4.25</t>
  </si>
  <si>
    <t>2.4.27</t>
  </si>
  <si>
    <t>2.4.28</t>
  </si>
  <si>
    <t>8.4.24</t>
  </si>
  <si>
    <t>станция</t>
  </si>
  <si>
    <t>6.1.2.</t>
  </si>
  <si>
    <t>6.1.3.</t>
  </si>
  <si>
    <t>6.1.4.</t>
  </si>
  <si>
    <t>6.1.5.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</si>
  <si>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</si>
  <si>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</si>
  <si>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</si>
  <si>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</si>
  <si>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</t>
  </si>
  <si>
    <t xml:space="preserve">6.1.8. </t>
  </si>
  <si>
    <t>То же, усиленного электродержателя</t>
  </si>
  <si>
    <t>6.1.9.</t>
  </si>
  <si>
    <t>6.1.10.</t>
  </si>
  <si>
    <t>То же, на кирпичной стене</t>
  </si>
  <si>
    <t>6.1.11.</t>
  </si>
  <si>
    <t xml:space="preserve">Установка и наладка протекторной защиты </t>
  </si>
  <si>
    <t>протект.гр.</t>
  </si>
  <si>
    <t>6.1.12.</t>
  </si>
  <si>
    <t>Установка электроперемычки на подземном трубопроводе</t>
  </si>
  <si>
    <t>6.1.13.</t>
  </si>
  <si>
    <t>10.1.29</t>
  </si>
  <si>
    <t>10.1.30</t>
  </si>
  <si>
    <t>10.1.31</t>
  </si>
  <si>
    <t>10.1.32</t>
  </si>
  <si>
    <t>10.1.33</t>
  </si>
  <si>
    <t>10.1.34</t>
  </si>
  <si>
    <t>Примечание:</t>
  </si>
  <si>
    <t>1. Работы по техническому обслуживанию и ремонту по заявкам газопроводов и газового оборудования</t>
  </si>
  <si>
    <t>инженер-энргетик</t>
  </si>
  <si>
    <t>Ремонт регулятора давления РДГК-6 при замене прокладки</t>
  </si>
  <si>
    <t>7.3.20</t>
  </si>
  <si>
    <t>Ремонт регулятора давления РДГК-10 при замене фильтра</t>
  </si>
  <si>
    <t>7.3.21</t>
  </si>
  <si>
    <t>Ремонт регулятора давления РДГК-10 при замене мембраны ПЗК</t>
  </si>
  <si>
    <t>7.3.22</t>
  </si>
  <si>
    <t>Технический осмотр внутренних и наружных газопроводов предприятия</t>
  </si>
  <si>
    <t>То же, при замене прокладки на входе и выходе регулятора</t>
  </si>
  <si>
    <t>7.3.23</t>
  </si>
  <si>
    <t>Ремонт регулятора типа РДГК-10 при замене втулки штока регулятора</t>
  </si>
  <si>
    <t>втулка</t>
  </si>
  <si>
    <t>7.3.24</t>
  </si>
  <si>
    <t>То же, при замене резинки клапана регулятора</t>
  </si>
  <si>
    <t>резинка</t>
  </si>
  <si>
    <t>7.3.25</t>
  </si>
  <si>
    <t>Замена предохранительно-запорного клапана типа ПКК-40М шкафных регуляторных пунктов</t>
  </si>
  <si>
    <t>7.3.26</t>
  </si>
  <si>
    <t>Ремонт предохранительно-запорного клапана типа ПКК-40М шкафных регуляторных пунктов</t>
  </si>
  <si>
    <t>7.3.27</t>
  </si>
  <si>
    <t>Прочистка пропускного седла ПКК-40М</t>
  </si>
  <si>
    <t>7.3.28</t>
  </si>
  <si>
    <t>Ремонт СППК-4</t>
  </si>
  <si>
    <t>7.3.29</t>
  </si>
  <si>
    <t>Замена  электромагнитного  клапана  ВПГ</t>
  </si>
  <si>
    <t>10.2.99</t>
  </si>
  <si>
    <t>Замена  датчика  тяги</t>
  </si>
  <si>
    <t>10.2.100</t>
  </si>
  <si>
    <t>Замена  прокладки  водорегулятора</t>
  </si>
  <si>
    <t>10.2.101</t>
  </si>
  <si>
    <t>Замена  прокладки  к  газопроводящей  трубке</t>
  </si>
  <si>
    <t>10.2.102</t>
  </si>
  <si>
    <t>Замена  прокладки  газового  узла  или  смесителя</t>
  </si>
  <si>
    <t>Замена горелки  проточного  водонагревателя.</t>
  </si>
  <si>
    <t>10.2.58</t>
  </si>
  <si>
    <t>Замена  блок-крана  ВПГ</t>
  </si>
  <si>
    <t>10.2.59</t>
  </si>
  <si>
    <t>Снятие блок-крана ВПГ</t>
  </si>
  <si>
    <t>10.2.60</t>
  </si>
  <si>
    <t>Установка  блок-крана ВПГ</t>
  </si>
  <si>
    <t>10.2.64</t>
  </si>
  <si>
    <t>10.2.65</t>
  </si>
  <si>
    <t>Снятие газовой  части блок-крана ВПГ</t>
  </si>
  <si>
    <t>10.2.66</t>
  </si>
  <si>
    <t>Установка  газовой  части блок-крана ВПГ</t>
  </si>
  <si>
    <t>Набивка  сальника  газовой  части  блок-крана</t>
  </si>
  <si>
    <t>10.2.71</t>
  </si>
  <si>
    <t>Замена  штока газовой  части блок-крана</t>
  </si>
  <si>
    <t>10.2.72</t>
  </si>
  <si>
    <t>Замена  штока  водяной  части блок-крана</t>
  </si>
  <si>
    <t>10.2.73</t>
  </si>
  <si>
    <t>Замена  пружины  блок-крана</t>
  </si>
  <si>
    <t>10.2.74</t>
  </si>
  <si>
    <t>Замена  мембраны  водяной  части  блок-крана</t>
  </si>
  <si>
    <t>10.2.75</t>
  </si>
  <si>
    <t>Замена  запальника</t>
  </si>
  <si>
    <t>10.2.76</t>
  </si>
  <si>
    <t>Замена  направляющей  планки запальника  ВПГ</t>
  </si>
  <si>
    <t>10.2.77</t>
  </si>
  <si>
    <t>Замена  биметаллической  пластинки</t>
  </si>
  <si>
    <t>10.2.84</t>
  </si>
  <si>
    <t>Замена  водяной  части ВПГ</t>
  </si>
  <si>
    <t>10.2.85</t>
  </si>
  <si>
    <t>Снятие  водяной   части  ВПГ</t>
  </si>
  <si>
    <t>Вызов  слесаря  для  выполнения  ремонта</t>
  </si>
  <si>
    <t>Замена  газовой  плиты без  изменения подводки с пуском газа и  регулировкой  работы горелок плиты.</t>
  </si>
  <si>
    <t>Демонтаж  газовой  плиты  с установкой  заглушки</t>
  </si>
  <si>
    <t>Замена  стола  плиты</t>
  </si>
  <si>
    <t>Замена горелки духового шкафа</t>
  </si>
  <si>
    <t xml:space="preserve">Замена  сопла  горелки  </t>
  </si>
  <si>
    <t>Замена  газоподводящей  трубки  верхней  горелки</t>
  </si>
  <si>
    <t>Замена  прокладок газоподводящей  трубки.</t>
  </si>
  <si>
    <t>Замена  регулятора  подачи  воздуха</t>
  </si>
  <si>
    <t>Замена (или  ремонт)  дверки духового шкафа.</t>
  </si>
  <si>
    <t>Замена балансира  дверки духового шкафа.</t>
  </si>
  <si>
    <t>Замена пружины  дверки  духового шкафа</t>
  </si>
  <si>
    <t>10.2.17</t>
  </si>
  <si>
    <t>10.2.18</t>
  </si>
  <si>
    <t>Замена  подсветки    духового шкафа</t>
  </si>
  <si>
    <t>Замена   ручки  дверки    духового шкафа</t>
  </si>
  <si>
    <t>10.2.20</t>
  </si>
  <si>
    <t>10.2.21</t>
  </si>
  <si>
    <t>Замена    крана  плиты</t>
  </si>
  <si>
    <t>10.2.23</t>
  </si>
  <si>
    <t>Замена    штока крана  плиты</t>
  </si>
  <si>
    <t>101 -200 мм</t>
  </si>
  <si>
    <t>201 - 300 мм</t>
  </si>
  <si>
    <t>301 - 400 мм</t>
  </si>
  <si>
    <t>401 - 500 мм</t>
  </si>
  <si>
    <t>501 - 600 мм</t>
  </si>
  <si>
    <t>601 - 700 мм</t>
  </si>
  <si>
    <t>(Стоимость работ по восстановлению защитного покрытия приведена в пункте 5.3.1)</t>
  </si>
  <si>
    <t>5.3.4</t>
  </si>
  <si>
    <t xml:space="preserve"> Восстановление стенки газопровода наложением заплаты с условным диаметром газопровода до 200 мм</t>
  </si>
  <si>
    <t>заплата</t>
  </si>
  <si>
    <t xml:space="preserve">св 200 мм </t>
  </si>
  <si>
    <t>5.3.5</t>
  </si>
  <si>
    <t>Замена участка подземного газопровода  (врезка катушки) при диаметре газопровода до 100 мм</t>
  </si>
  <si>
    <t>участок</t>
  </si>
  <si>
    <t>5.3.6</t>
  </si>
  <si>
    <t>6.1.41.</t>
  </si>
  <si>
    <t>монтер уч-ка</t>
  </si>
  <si>
    <t>эл. газов.уч-ка 5 р</t>
  </si>
  <si>
    <t>Ремонт контактного устройства на анодном заземлении на рельсах электрического транспорта</t>
  </si>
  <si>
    <t>Ремонт контактного устройства на трубопроводе в колодце  или ковере</t>
  </si>
  <si>
    <t>Ремонт контрольно-измерительного пункта на трубопроводе, оборудованном медно-сульфатным электродом сравнения длительного действия</t>
  </si>
  <si>
    <t>Определение мест повреждения дренажного кабеля приборным методом</t>
  </si>
  <si>
    <t>10 м кабеля</t>
  </si>
  <si>
    <t>Замена трансформатор электроизмерительного блока</t>
  </si>
  <si>
    <t>Замена теристора ЭЗУ</t>
  </si>
  <si>
    <t>теристор</t>
  </si>
  <si>
    <t>Замена потенциометра</t>
  </si>
  <si>
    <t>потенц-м</t>
  </si>
  <si>
    <t>Замена электрической кабельной линии при массе кабеля 10 кг</t>
  </si>
  <si>
    <t>1 м кабеля</t>
  </si>
  <si>
    <t>Ремонт воздушной линии питания</t>
  </si>
  <si>
    <t>1 неисправн.</t>
  </si>
  <si>
    <t>6.3.37</t>
  </si>
  <si>
    <t>6.3.38</t>
  </si>
  <si>
    <t>6.3.39</t>
  </si>
  <si>
    <t>6.3.40</t>
  </si>
  <si>
    <t>6.3.41</t>
  </si>
  <si>
    <t>6.3.42</t>
  </si>
  <si>
    <t>6.3.43</t>
  </si>
  <si>
    <t>6.3.44</t>
  </si>
  <si>
    <t>нач. пто</t>
  </si>
  <si>
    <t>эл. газов.смр 5 р</t>
  </si>
  <si>
    <t>Примечание: строительно - монтажные работы на газопроводе и сооружениях выполняют: электрогазосварщик смр и слесарь по эксплуатации и ремонту подземных газопроводов.</t>
  </si>
  <si>
    <t>слесарь спс 4 р.</t>
  </si>
  <si>
    <t>слесарь смр 5 р.</t>
  </si>
  <si>
    <t xml:space="preserve">нач.пто </t>
  </si>
  <si>
    <t>эл. газосв.смр5 р</t>
  </si>
  <si>
    <t>слесарь свдго 4 р</t>
  </si>
  <si>
    <t>слесарь свдго 5 р</t>
  </si>
  <si>
    <t>слесарь ссг 4 р</t>
  </si>
  <si>
    <t>ст.мастер уч-ка</t>
  </si>
  <si>
    <t>слесарь спс 4 р</t>
  </si>
  <si>
    <t>То же,  с  электродом сравнения длительного действия</t>
  </si>
  <si>
    <t>6.1.59.</t>
  </si>
  <si>
    <t>Реставрация настенных знаков с заменой знака</t>
  </si>
  <si>
    <t>5.1.16</t>
  </si>
  <si>
    <t>То же, без замены знака</t>
  </si>
  <si>
    <t>5.1.17</t>
  </si>
  <si>
    <t>Буровой осмотр газопровода с асвальто-бетонным покрытием с использованием бурильной установки</t>
  </si>
  <si>
    <t>скважина</t>
  </si>
  <si>
    <t>5.1.18</t>
  </si>
  <si>
    <t>5.1.6</t>
  </si>
  <si>
    <t>подвал</t>
  </si>
  <si>
    <t>5.1.7</t>
  </si>
  <si>
    <t>7.4.1.</t>
  </si>
  <si>
    <t>Анализ технической документации</t>
  </si>
  <si>
    <t>7.4.2.</t>
  </si>
  <si>
    <t>Проверка плотности соединений газопроводов и арматуры</t>
  </si>
  <si>
    <t>Проверка пределов регулирования давления и стабильности работы регулятора при изменении расхода газа</t>
  </si>
  <si>
    <t>7.4.3.</t>
  </si>
  <si>
    <t>7.4.4.</t>
  </si>
  <si>
    <t>Проверка пределов срабатывания предохранительно-запорных и сборных клапанов</t>
  </si>
  <si>
    <t>7.4.5.</t>
  </si>
  <si>
    <t>Проверка перепада давления на фильтре</t>
  </si>
  <si>
    <t>7.4.6.</t>
  </si>
  <si>
    <t>Проверка сроков государственной метрологической поверки контрольнл-измерительных приборов и узов учета газа</t>
  </si>
  <si>
    <t>7.4.7.</t>
  </si>
  <si>
    <t>7.4.8.</t>
  </si>
  <si>
    <t>Визуальный и измерительный контроль оборудования</t>
  </si>
  <si>
    <t>Акустико-эмиссионный (АЭ) контроль оборудования и газопроводов ГРП с проверкой на герметичность внутренюю герметичноть ответственного оборудования, а такжес проверкой на прочность</t>
  </si>
  <si>
    <t>7.4.9.</t>
  </si>
  <si>
    <t>7.4.10.</t>
  </si>
  <si>
    <t>Генеральный директор</t>
  </si>
  <si>
    <t>цен для населения</t>
  </si>
  <si>
    <t>в т.ч. НДС</t>
  </si>
  <si>
    <t>1.</t>
  </si>
  <si>
    <t>Стоимость проектных работ, не включенных в главу 4 раздела 1, определяется на основе действующих нормативных документов</t>
  </si>
  <si>
    <t>2.</t>
  </si>
  <si>
    <t>При внесении изменений в проектное решение или экскиз (п. 1.4.1-1.4.3) или в исполнительную схему стыков (п. 1.4.4-1.4.6) стоимость дополнительных работ определяется ГРО с помощью понижающих коэффицентов исходя из объёма вносимых изменений (корректировок)</t>
  </si>
  <si>
    <t>3.</t>
  </si>
  <si>
    <t>При необходимости выезда на место обследования применять к тарифу k=1,5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</si>
  <si>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</si>
  <si>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4. ДИАГНОСТИКА ТЕХНИЧЕСКОГО СОСТОЯНИЯ ГАЗОПРОВОДОВ  И ОБОРУДОВАНИЯ  ШРП</t>
  </si>
  <si>
    <t xml:space="preserve">Глава 2. РЕМОНТ ПО ЗАЯВКАМ </t>
  </si>
  <si>
    <t>ОБОРУДОВАНИЮ РЕМОНТ ГАЗОВОГО ОБОРУДОВАНИЯ</t>
  </si>
  <si>
    <t>Начальник ПТО</t>
  </si>
  <si>
    <t>Глава 3.  ПРОЕКТНЫЕ, КОНСУЛЬТАЦИОННЫЕ И ПРОЧИЕ РАБОТЫ</t>
  </si>
  <si>
    <t>Глава 3. ПРОЕКТНЫЕ, КОНСУЛЬТАЦИОННЫЕ И ПРОЧИЕ РАБОТЫ.</t>
  </si>
  <si>
    <t>Консультационные услуги по определению типа измерительного средства и выдача технической информации для проектирования коммерческого узла учета газа для бытовых установок.</t>
  </si>
  <si>
    <t>Реставрация резьбовой части смесителя плиты</t>
  </si>
  <si>
    <t>Проверка герметичности подземного газопровода опрессовкой при диаметре до 100 мм</t>
  </si>
  <si>
    <t>г. Екатеринбург 2019 г.</t>
  </si>
  <si>
    <t>Газекс</t>
  </si>
  <si>
    <t>Газпромгазораспределение</t>
  </si>
  <si>
    <t>мастер СМР</t>
  </si>
  <si>
    <t>Газэкс</t>
  </si>
  <si>
    <t>Прием в эксплуатацию наружного и внутреннего газопровода, газового оборудования жилого дома индивидуальной застройки</t>
  </si>
  <si>
    <t>ст.мастер</t>
  </si>
  <si>
    <t>вед.инженер</t>
  </si>
  <si>
    <t>ФОТ</t>
  </si>
  <si>
    <t>Инженер ПТО ведущий</t>
  </si>
  <si>
    <t>Проектировщик</t>
  </si>
  <si>
    <t>Электрогазосварщик СМР 5 р.</t>
  </si>
  <si>
    <t>Слесарь СПС4 р.</t>
  </si>
  <si>
    <t>Слесарь СМР 5 р.</t>
  </si>
  <si>
    <t>электромонтер</t>
  </si>
  <si>
    <t>Старший мастер уч-ка</t>
  </si>
  <si>
    <t>гл. энергетик</t>
  </si>
  <si>
    <t>НДС</t>
  </si>
  <si>
    <t xml:space="preserve">Рентабельность для населения </t>
  </si>
  <si>
    <t>Темп роста, %</t>
  </si>
  <si>
    <t>Старая Цена для населения                  (с НДС)</t>
  </si>
  <si>
    <t>мастер смр/инженер смр</t>
  </si>
  <si>
    <t>____________А.С.Андриянов</t>
  </si>
  <si>
    <t xml:space="preserve">Разработка грунта вручную в траншее </t>
  </si>
  <si>
    <t xml:space="preserve">Присыпка траншеи вручную </t>
  </si>
  <si>
    <t>Устройство щебеночного покрытия  вручную  м2</t>
  </si>
  <si>
    <t>Монтаж, опрессовка, смазка и подключение проточного водонагревателя</t>
  </si>
  <si>
    <t>Монтаж, опрессовка, смазка и подключение водонагревателя "John Wood"</t>
  </si>
  <si>
    <t xml:space="preserve">Монтаж, опрессовка, смазка и подключение газогорелочного устройства в отопительной печи </t>
  </si>
  <si>
    <t>шуровкой газопровода</t>
  </si>
  <si>
    <t>(вп.5.3.13-5.3.18 при работе с приставной лестницей применять коэф. 1,2; в колодце - коэф. 1,4)</t>
  </si>
  <si>
    <t xml:space="preserve">(в п.5.3.19 и 5.3.20 при выполнении работ, связанных со снятием и установкой плиты перекрытия колодца, использовать п. 5.3.39; при работе с приставной лестницей применять коэф.. 1,2; в колодце -1,4) </t>
  </si>
  <si>
    <t xml:space="preserve">Окраска ранее окрашенных задвижек в неудобных  условиях работы ( на высоте с приставной лестницы) при диаметре газопровода до 200 мм </t>
  </si>
  <si>
    <t xml:space="preserve">Окраска ранее окрашенных задвижек в колодце при диаметре газопровода до 200 мм </t>
  </si>
  <si>
    <t xml:space="preserve">Окраска ранее окрашенных линзовых компенсаторов при диаметре газопровода до 200 мм </t>
  </si>
  <si>
    <t>Монтаж бытового счетчика газа на существующем газопроводе с опрессовкой и пуском газа (При монтаже счетчика с новой подводкой внутреннего газопровода и врезкой крана дополнительно применить п.2.1.9 и 2.2.3)</t>
  </si>
  <si>
    <t>Монтаж анодного горизонтального заземлителя из чугунных труб при длине электродов и труб до 3-х метров (на каждый последующий электрод в п. 5.3.39.-5.3.40. применить кожф. 0,4)</t>
  </si>
  <si>
    <t>Монтаж анодного горизонтального заземлителя из чугунных труб при длине электродов и труб до 6 метров</t>
  </si>
  <si>
    <t>Монтаж анодного вертикального заземлителя из чугунных труб при длине электродов и труб до 6 метров</t>
  </si>
  <si>
    <t>Монтаж анодного вертикального заземлителя из чугунных труб при длине электродов и труб до 6 м и труб до 3 м</t>
  </si>
  <si>
    <t>Монтаж анодного вертикального заземлителя из чугунных труб при длине электродов и труб до 12 м и труб до 6 м</t>
  </si>
  <si>
    <t>Монтаж анодного вертикального заземлителя из чугунных труб при длине электродов и труб до 24 м и труб до 6 м</t>
  </si>
  <si>
    <t>Монтаж анодного вертикального заземлителя из чугунных труб при длине электродов и труб до 36 м и труб до 6 м</t>
  </si>
  <si>
    <t>Монтаж анодного вертикального заземлителя из чугунных труб при длине электродов и труб до 48 м и труб до 6 м</t>
  </si>
  <si>
    <t>Монтаж анодного горизонтального заземлителя из углеграфитовых электродов при длине электродов и труб до 3-х м (на каждый последующий электрод в п. 5.3.48.-5.3.49. применить коэф. 0,4)</t>
  </si>
  <si>
    <t>Монтаж анодного горизонтального заземлителя из углеграфитовых труб при длине электродов и труб до 3-х м (на каждый последующий электрод в п. 5.3.50.-5.3.53 применить коэф. 0,3)</t>
  </si>
  <si>
    <t>Отключение ГРП в колодце</t>
  </si>
  <si>
    <t>Проверка пределов срабатывания предохранительно-запорных и сбросных клапанов</t>
  </si>
  <si>
    <t>(при работе с приставной лестницей применять коэф. 1,3)</t>
  </si>
  <si>
    <t>Техническое обслуживание калорифера газового</t>
  </si>
  <si>
    <t>Замена   привода  вертела  духового шкафа</t>
  </si>
  <si>
    <t>Вскрытие отсека вентилятора</t>
  </si>
  <si>
    <t>Замена температурных датчиков или конденсатора в отсеке вентилятора агрегата "Lennox" с заменой фильтра</t>
  </si>
  <si>
    <t>Замена двигателя вентилятора с заменой фильтра</t>
  </si>
  <si>
    <t>Замена вентилятора в сборе агрегата "Lennox" с заменой фильтра</t>
  </si>
  <si>
    <t>Продувка и пуск газа во внутренний газопровод административного, общественного здания непроизводственног назначения после отключения газоснабжения</t>
  </si>
  <si>
    <t>Оповещение и отключение жилых домов на период ремонтных работ</t>
  </si>
  <si>
    <t>Изготовление переходника к газовой плите</t>
  </si>
  <si>
    <t>Очистка внутренней поверхности водопроводныхх трубок радиатора ВПГ</t>
  </si>
  <si>
    <t>Ремонт терморегулятора водонагревателя емкостного</t>
  </si>
  <si>
    <t>Капитальный ремонт отопительного котла АГВ, АОГВ</t>
  </si>
  <si>
    <t>Изготовление прокладок, шайб, мембраны из паронита и др. материалов</t>
  </si>
  <si>
    <t>То же, с диаметром 200 мм и на 100 мм</t>
  </si>
  <si>
    <t>Монтаж,  опрессовка, смазка и подключение газовой плиты</t>
  </si>
  <si>
    <t>Установка крана при монтаже внутридомового газового оборудования при диаметре                                                                                                     15-20 мм</t>
  </si>
  <si>
    <t>Монтаж, опрессовка, смазка и подключение отопительного газового оборудования емкостного водонагревателя типа АОГВ</t>
  </si>
  <si>
    <t>Монтаж, опрессовка, смазка и подключение газовой трехгорелочной плиты со встроенным баллоном</t>
  </si>
  <si>
    <t>Установка бытового счетчика газа после ремонта или поверки</t>
  </si>
  <si>
    <t>Оформление исполнительно-технической документации на газификацию жилого дома индивидуальной застройки (с выездом на место обследования применить коэф. 1,5)</t>
  </si>
  <si>
    <t>Установка двух баллонов для сжиженного газа в шкафу (с монтажом шкафа)</t>
  </si>
  <si>
    <t>То же, емкостного водонагревателя типа Дон, Хопер и др.</t>
  </si>
  <si>
    <t>Первичный пуск в эксплуатацию подземного газопровода (При повторном пуске газа в п. 3.9 -0,32 применить коэф. 0,7)</t>
  </si>
  <si>
    <t>Пуско-наладочные работы по вводу в эксплуатацию подземного газопровода к жилому дому (ввод до  25 м) (При длине ввода свыше  25 м применить коэф.1,2 )</t>
  </si>
  <si>
    <t>Пуско-наладочные работы по вводу в эксплуатацию надземного газопровода к жилому дому  при длине до 100 м (При длине газопровода  свыше 100 м  применить коэф. 1,1 )</t>
  </si>
  <si>
    <t>Первичный пуск газа в газовое оборудование жилого дома индивидуальной застройки при установке плиты ( При установке 2 плит применить коэф. 1,8; при установке бытового счетчика газа применить коэф. 1,15) (При повторном пуске газа в п. 3.33. -3.51 применить коэф. 0,6</t>
  </si>
  <si>
    <t xml:space="preserve">Первичный пуск газа в газовое оборудование жилого дома индивидуальной застройки при установке плиты и отопительной горелки ( При установке 2 горелок  применить коэф. 1,3; при установке бытового счетчика газа применить коэф. 1,1) </t>
  </si>
  <si>
    <t xml:space="preserve">Первичный пуск газа в газовое оборудование жилого дома индивидуальной застройки при установке  плиты и проточного водонагревателя ( При установке 2 водонагревателей  применить коэф. 1,5; при установке бытового счетчика газа применить коэф. 1,07) </t>
  </si>
  <si>
    <t xml:space="preserve">Первичный пуск газа в газовое оборудование жилого дома индивидуальной застройки при установке  2 плит и 2 проточных водонагревателей ( при установке бытового счетчика газа применить коэф. 1,04; при установке двух счетчиков применить коэф. 1,08) </t>
  </si>
  <si>
    <t xml:space="preserve">Первичный пуск газа в газовое оборудование жилого дома индивидуальной застройки при установке плиты,  проточного водонагревателя и отопительной горелки ( при установке бытового счетчика газа применить коэф. 1,05) </t>
  </si>
  <si>
    <t xml:space="preserve">Первичный пуск газа в газовое оборудование жилого дома индивидуальной застройки при установке   плиты,  проточного водонагревателя и отопительного аппарата ( при установке бытового счетчика газа применить коэф. 1,03) </t>
  </si>
  <si>
    <t xml:space="preserve">Первичный пуск газа в газовое оборудование жилого дома индивидуальной застройки при установке   плиты,  проточного водонагревателя и 2 отопительных аппаратов ( при установке  двух плит применить коэф. 1,1; бытового счетчика газа применить коэф. 1,03; двух счетчиков - коэф.1,06) </t>
  </si>
  <si>
    <t xml:space="preserve">То же, при установке  двух плит,  двух  водонагревателей и двух отопительных аппаратов (при установке  бытового счетчика  газа применить коэф. 1,03; двух счетчиков - коэф.1,06) </t>
  </si>
  <si>
    <t>Проверка на загазованность подвала здания (технического подполья),  подлежащего проверке в зоне 15 м от газопровода (При использовании штуцера  применить коэф. 0,25,)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</si>
  <si>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 5.1.7-5.1.12   применить коэф. 1,2)</t>
  </si>
  <si>
    <t>Проверка технического состояния конденсатосборника с удалением конденсата  давлением газа</t>
  </si>
  <si>
    <t>(При работе с приставной лестницей применить в п. 5.3.6-5.3.8 коэф.  1,2)</t>
  </si>
  <si>
    <t>(в п.5.3.13-5.3.18 при работе с приставной лестницей применить коэф. 1,2; в колодце - коэф. 1,4)</t>
  </si>
  <si>
    <t xml:space="preserve">(в п.5.3.19 и 5.3.20 при выполнении работ, связанных со снятием и установкой плиты перекрытия колодца, использовать п. 5.3.39; при работе с приставной лестницей применить коэф.. 1,2; в колодце -1,4) </t>
  </si>
  <si>
    <t xml:space="preserve">Окраска ранее окрашенных задвижек в нормальных условиях работы при диаметре газопровода до 200 мм </t>
  </si>
  <si>
    <t>Окраска ранее окрашенных  газопроводов, одна окраска (при двух окрасках применить коэф. 1,5; при грунтовке  коэф.- 1,3; при окраске с приставной лестницей применить коэф.1,2)</t>
  </si>
  <si>
    <t>Пуск газа в газопроводы наружных сетей после выполнения ремонтных работ при длине газопровода до 50 м и диаметре 50-100м (На каждые дополнительные 10 м длины в пунктах 5.3.47 и 5.3.48 применить коэф.0,2)</t>
  </si>
  <si>
    <t>При диаметре газопровода св.200 мм длиной до 50 м на каждые 100 мм наружного диаметра применить коэф.1,25; на каждые дополнительные 10 м длины - коэф.0,2)</t>
  </si>
  <si>
    <t xml:space="preserve"> Проверка на прочность и герметичность газопроводов-вводов при длине до 20 м (два ввода) и диаметре до 100 мм (На каждые дополнительные 10 м длины в пунктах 5.3.49 и 5.3.50 применить коэф.0,25)</t>
  </si>
  <si>
    <t>Понижение давления в газопроводе на период ремонтных работ (На каждое последующее ГРП применить коэф.0,5)</t>
  </si>
  <si>
    <t xml:space="preserve"> Отключение фасадного участка газопровода (С установкой заглушки применить коэф. 3,0)</t>
  </si>
  <si>
    <t>Оповещение потребителей об отключении газа на период ремонтных работ (свыше 15 домов на вводе)</t>
  </si>
  <si>
    <t>Монтаж анодного вертикального заземлителя из чугунных труб при длине электродов и труб до 3-х метров (на каждый последующий электрод в п. 5.3.41.-5.3.44. применить коэф. 0,3)</t>
  </si>
  <si>
    <t>Измерение разности потенциалов самопишущими приборами. Место измерения "сооружение-земля" при снятии показаний в течении                 4 часов</t>
  </si>
  <si>
    <t>Измерение разности потенциалов самопишущими приборами. Место измерения "сооружение-сооружение" "рельс-земля"при снятии показаний в течении                                                             4 часов</t>
  </si>
  <si>
    <t>Ремонт изолирующих фланцевых соединений с заменой двух втулок (на каждые последующие 2 втулки применить коэф. 0,7)</t>
  </si>
  <si>
    <t>Примечание: 1)  Работа по осмотру  технического состоянию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комплекса- слесарь по контрольно измерительным приборам.  2)  Трудозатраты при эксплуатации ГРУ приравнены к ГРП.</t>
  </si>
  <si>
    <t>Внешний осмотр (обход) технического состояния групповой баллонной установки из двух баллонов (на каждые последующие 2 баллона применить коэф. 0,2)</t>
  </si>
  <si>
    <t>Ремонт сбросного клапана групповой баллонной установки при замене мембраны</t>
  </si>
  <si>
    <t xml:space="preserve">Замена сбросного клапана групповой баллонной установки </t>
  </si>
  <si>
    <t>То же, при количестве баллонов в шкафу 3-4</t>
  </si>
  <si>
    <t xml:space="preserve">Техническое  обслуживание  индивидуальной  газобаллонной  установки (ГБУ) на  кухне  с  плитой двухгорелочной  газовой  </t>
  </si>
  <si>
    <t xml:space="preserve">Техническое  обслуживание  индивидуальной  газобаллонной  установки (ГБУ) на  кухне  с  плитой трехгорелочной  газовой  </t>
  </si>
  <si>
    <t xml:space="preserve">Техническое  обслуживание  индивидуальной  газобаллонной  установки (ГБУ) на  кухне  с  плитой четырехгорелочной  газовой  </t>
  </si>
  <si>
    <t>Техническое  обслуживание  газов.оборудования  индивидуальной бани (теплицы,гаража) при одной горелке (на каждую последущую горелку применить коэф. 0,7)</t>
  </si>
  <si>
    <t xml:space="preserve">Проверка на плотность фланцевых,резьбовых соединений и сварных стыков на газопроводе в подъезде здания  при диаметре  </t>
  </si>
  <si>
    <t>(при работе с приставной лестницей с перестановкой применить коэф. 1,2; при наличии коллекторов в разводке газопроводов в лестничных клетках или коридорах применить коэф 1,5)</t>
  </si>
  <si>
    <t>Включение  отопительной  печи  с автоматическим  устройством  на зимний  период (на  последующую печь  в  пунктах  1.1.31.-1.1.32. применить 0,85 )</t>
  </si>
  <si>
    <t>Включение  отопительного  аппарата  на  зимний  период  (на каждый последующий  аппарат прим.коэф.0,85)</t>
  </si>
  <si>
    <t>Сезонное отключение  отопительного  аппарата  или отопительной  печи  (на каждый посл.аппарат применить  коэфф. 0,85)</t>
  </si>
  <si>
    <t>Замена оси дверки  духового шкафа</t>
  </si>
  <si>
    <t>Замена терморегулятора  духового шкафа</t>
  </si>
  <si>
    <t>Замена крышки водной части КГИ-56</t>
  </si>
  <si>
    <t>Развальцовка подводящей  трубки холодной  воды  с  заменой  гайки или  штуцера</t>
  </si>
  <si>
    <t>Крепление корпуса горелки  ВПГ</t>
  </si>
  <si>
    <t>Водонагреватель емкостной, отопительный (отопително-варочный) котел, отопительная газовая печь</t>
  </si>
  <si>
    <t>Чистка контактов ЭМК без пайки катушки</t>
  </si>
  <si>
    <t>(при работе с приставной лестницей в п.210-2114 применить коэф. 1,2)</t>
  </si>
  <si>
    <t>Изготовление решетки для 2-х горелочной плиты (ПГ-4 с коэф 1,3)</t>
  </si>
  <si>
    <t>длиной до 0,4 м с 2-мя гайками</t>
  </si>
  <si>
    <t>длиной до 0,15 м с 2-мя гайками</t>
  </si>
  <si>
    <t>длиной до 0,4 м с 1 гайкой</t>
  </si>
  <si>
    <t>длиной до 0,15 м с 1 гайкой</t>
  </si>
  <si>
    <t>длиной 520 мм</t>
  </si>
  <si>
    <t>Ремонт змеевика водонагревателя проточного со сваркой</t>
  </si>
  <si>
    <t>Ремонт водяного блока ВПГ</t>
  </si>
  <si>
    <t>Изготовление вытяжки для отопительного котла</t>
  </si>
  <si>
    <t>Изготовление зонта-флюгарки</t>
  </si>
  <si>
    <t xml:space="preserve">Изготовление хомута к газобаллонной установке </t>
  </si>
  <si>
    <t>Ремонт редуктора к газобаллонной установке  (замена клапана, накидной гайки)</t>
  </si>
  <si>
    <t>Изготовление сварных переходников с диаметром 300 мм на 200 мм</t>
  </si>
  <si>
    <t>Инструктаж населения в техническом кабинете по правилам пользования газовой плитой (многоквартирный дом)</t>
  </si>
  <si>
    <t xml:space="preserve">Инструктаж в техническом кабинете по правилам пользования газовыми приборами наесления, проживающего в домах индивидуальной застройки при установке газовой плиты </t>
  </si>
  <si>
    <t xml:space="preserve">                   вводится с 01.12.2019 г.</t>
  </si>
  <si>
    <t>(При вырезке  с отклонением газопровода высокого (среднего) давления всех диаметров применить коэф. 1,15; с понижением давления или врезке заготовкой применить коэф. 1,13; при обрезке газопровода без установки заглушки применить коэф. 0,9</t>
  </si>
  <si>
    <t>(При обрезке без установки заглушки применить коэф. 0,7)</t>
  </si>
  <si>
    <t>из 2-х фланцев</t>
  </si>
  <si>
    <t>Окраска наружного газопровода надземной прокладки,  две окраски (при окраске с приставной лестницей применить коэф. 1,2)</t>
  </si>
  <si>
    <t>водонагреватель</t>
  </si>
  <si>
    <t xml:space="preserve"> Оповещение потребителей об отключении газа на период ремонтных работ (до 5 домов на вводе)</t>
  </si>
  <si>
    <t>(При работе с приставной лестницей применить к цене коэф. 1,2)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</si>
</sst>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0.0"/>
    <numFmt numFmtId="176" formatCode="[$-FC19]d\ mmmm\ yyyy\ &quot;г.&quot;"/>
    <numFmt numFmtId="177" formatCode="_-* #,##0.0\ _₽_-;\-* #,##0.0\ _₽_-;_-* &quot;-&quot;??\ _₽_-;_-@_-"/>
    <numFmt numFmtId="178" formatCode="0.000"/>
    <numFmt numFmtId="179" formatCode="0.0000"/>
    <numFmt numFmtId="180" formatCode="0.000000"/>
    <numFmt numFmtId="181" formatCode="0.00000"/>
    <numFmt numFmtId="182" formatCode="#,##0.00_ ;[Red]\-#,##0.00\ "/>
    <numFmt numFmtId="183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9" fontId="4" fillId="0" borderId="10" xfId="54" applyNumberFormat="1" applyFont="1" applyBorder="1" applyAlignment="1">
      <alignment horizontal="center" vertical="top" wrapText="1"/>
      <protection/>
    </xf>
    <xf numFmtId="2" fontId="4" fillId="0" borderId="11" xfId="54" applyNumberFormat="1" applyFont="1" applyBorder="1" applyAlignment="1">
      <alignment horizontal="center" vertical="top" wrapText="1"/>
      <protection/>
    </xf>
    <xf numFmtId="2" fontId="4" fillId="0" borderId="10" xfId="54" applyNumberFormat="1" applyFont="1" applyBorder="1" applyAlignment="1">
      <alignment horizontal="center" vertical="top" wrapText="1"/>
      <protection/>
    </xf>
    <xf numFmtId="2" fontId="6" fillId="0" borderId="12" xfId="54" applyNumberFormat="1" applyFont="1" applyBorder="1" applyAlignment="1">
      <alignment horizontal="left" vertical="top" wrapText="1"/>
      <protection/>
    </xf>
    <xf numFmtId="2" fontId="6" fillId="0" borderId="13" xfId="54" applyNumberFormat="1" applyFont="1" applyBorder="1" applyAlignment="1">
      <alignment horizontal="left" vertical="top" wrapText="1"/>
      <protection/>
    </xf>
    <xf numFmtId="0" fontId="6" fillId="0" borderId="13" xfId="0" applyFont="1" applyBorder="1" applyAlignment="1">
      <alignment/>
    </xf>
    <xf numFmtId="2" fontId="6" fillId="0" borderId="13" xfId="54" applyNumberFormat="1" applyFont="1" applyBorder="1" applyAlignment="1">
      <alignment horizontal="right" vertical="top" wrapText="1"/>
      <protection/>
    </xf>
    <xf numFmtId="2" fontId="6" fillId="0" borderId="0" xfId="54" applyNumberFormat="1" applyFont="1" applyBorder="1" applyAlignment="1">
      <alignment horizontal="right" vertical="top" wrapText="1"/>
      <protection/>
    </xf>
    <xf numFmtId="2" fontId="6" fillId="0" borderId="13" xfId="54" applyNumberFormat="1" applyFont="1" applyBorder="1" applyAlignment="1">
      <alignment horizontal="center" vertical="top" wrapText="1"/>
      <protection/>
    </xf>
    <xf numFmtId="2" fontId="6" fillId="0" borderId="12" xfId="54" applyNumberFormat="1" applyFont="1" applyBorder="1" applyAlignment="1">
      <alignment horizontal="left" vertical="top" wrapText="1"/>
      <protection/>
    </xf>
    <xf numFmtId="2" fontId="6" fillId="0" borderId="14" xfId="54" applyNumberFormat="1" applyFont="1" applyBorder="1" applyAlignment="1">
      <alignment horizontal="left" vertical="top" wrapText="1"/>
      <protection/>
    </xf>
    <xf numFmtId="2" fontId="6" fillId="0" borderId="12" xfId="54" applyNumberFormat="1" applyFont="1" applyBorder="1" applyAlignment="1">
      <alignment horizontal="center" vertical="top" wrapText="1"/>
      <protection/>
    </xf>
    <xf numFmtId="2" fontId="6" fillId="0" borderId="14" xfId="54" applyNumberFormat="1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4" xfId="54" applyNumberFormat="1" applyFont="1" applyBorder="1" applyAlignment="1">
      <alignment horizontal="right" vertical="top" wrapText="1"/>
      <protection/>
    </xf>
    <xf numFmtId="0" fontId="6" fillId="0" borderId="16" xfId="0" applyFont="1" applyBorder="1" applyAlignment="1">
      <alignment/>
    </xf>
    <xf numFmtId="2" fontId="6" fillId="0" borderId="14" xfId="54" applyNumberFormat="1" applyFont="1" applyBorder="1" applyAlignment="1">
      <alignment horizontal="center" vertical="top" wrapText="1"/>
      <protection/>
    </xf>
    <xf numFmtId="2" fontId="6" fillId="0" borderId="12" xfId="54" applyNumberFormat="1" applyFont="1" applyBorder="1" applyAlignment="1">
      <alignment horizontal="center" vertical="top" wrapText="1"/>
      <protection/>
    </xf>
    <xf numFmtId="2" fontId="6" fillId="0" borderId="14" xfId="54" applyNumberFormat="1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2" fontId="6" fillId="0" borderId="11" xfId="54" applyNumberFormat="1" applyFont="1" applyBorder="1" applyAlignment="1">
      <alignment horizontal="left" vertical="top" wrapText="1"/>
      <protection/>
    </xf>
    <xf numFmtId="0" fontId="6" fillId="0" borderId="17" xfId="0" applyFont="1" applyBorder="1" applyAlignment="1">
      <alignment/>
    </xf>
    <xf numFmtId="2" fontId="6" fillId="0" borderId="10" xfId="54" applyNumberFormat="1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2" fontId="6" fillId="0" borderId="10" xfId="54" applyNumberFormat="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9" xfId="0" applyFont="1" applyBorder="1" applyAlignment="1">
      <alignment/>
    </xf>
    <xf numFmtId="173" fontId="6" fillId="0" borderId="13" xfId="62" applyFont="1" applyBorder="1" applyAlignment="1">
      <alignment/>
    </xf>
    <xf numFmtId="0" fontId="6" fillId="0" borderId="14" xfId="0" applyFont="1" applyBorder="1" applyAlignment="1">
      <alignment/>
    </xf>
    <xf numFmtId="173" fontId="6" fillId="0" borderId="14" xfId="62" applyFont="1" applyBorder="1" applyAlignment="1">
      <alignment horizontal="center"/>
    </xf>
    <xf numFmtId="173" fontId="6" fillId="0" borderId="14" xfId="62" applyFont="1" applyBorder="1" applyAlignment="1">
      <alignment/>
    </xf>
    <xf numFmtId="173" fontId="6" fillId="0" borderId="12" xfId="62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6" fillId="0" borderId="10" xfId="54" applyNumberFormat="1" applyFont="1" applyBorder="1" applyAlignment="1">
      <alignment horizontal="left" vertical="top" wrapText="1"/>
      <protection/>
    </xf>
    <xf numFmtId="2" fontId="6" fillId="0" borderId="10" xfId="54" applyNumberFormat="1" applyFont="1" applyBorder="1" applyAlignment="1">
      <alignment horizontal="center" vertical="top" wrapText="1"/>
      <protection/>
    </xf>
    <xf numFmtId="173" fontId="6" fillId="0" borderId="10" xfId="62" applyFont="1" applyBorder="1" applyAlignment="1">
      <alignment/>
    </xf>
    <xf numFmtId="2" fontId="6" fillId="0" borderId="13" xfId="54" applyNumberFormat="1" applyFont="1" applyBorder="1" applyAlignment="1">
      <alignment horizontal="left" vertical="top" wrapText="1"/>
      <protection/>
    </xf>
    <xf numFmtId="2" fontId="6" fillId="0" borderId="13" xfId="54" applyNumberFormat="1" applyFont="1" applyBorder="1" applyAlignment="1">
      <alignment horizontal="center" vertical="top" wrapText="1"/>
      <protection/>
    </xf>
    <xf numFmtId="173" fontId="6" fillId="0" borderId="0" xfId="62" applyFont="1" applyAlignment="1">
      <alignment/>
    </xf>
    <xf numFmtId="2" fontId="6" fillId="0" borderId="14" xfId="54" applyNumberFormat="1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54" applyNumberFormat="1" applyFont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wrapText="1"/>
    </xf>
    <xf numFmtId="49" fontId="6" fillId="0" borderId="14" xfId="54" applyNumberFormat="1" applyFont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center" wrapText="1"/>
    </xf>
    <xf numFmtId="49" fontId="6" fillId="0" borderId="12" xfId="54" applyNumberFormat="1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wrapText="1"/>
    </xf>
    <xf numFmtId="49" fontId="6" fillId="0" borderId="10" xfId="54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 indent="2"/>
    </xf>
    <xf numFmtId="0" fontId="9" fillId="33" borderId="18" xfId="0" applyFont="1" applyFill="1" applyBorder="1" applyAlignment="1">
      <alignment horizontal="left" vertical="top" wrapText="1" indent="1"/>
    </xf>
    <xf numFmtId="0" fontId="9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 indent="1"/>
    </xf>
    <xf numFmtId="0" fontId="9" fillId="33" borderId="12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 indent="1"/>
    </xf>
    <xf numFmtId="0" fontId="9" fillId="33" borderId="11" xfId="0" applyFont="1" applyFill="1" applyBorder="1" applyAlignment="1">
      <alignment horizontal="left" vertical="top" wrapText="1" indent="1"/>
    </xf>
    <xf numFmtId="0" fontId="9" fillId="33" borderId="11" xfId="0" applyFont="1" applyFill="1" applyBorder="1" applyAlignment="1">
      <alignment horizontal="left" vertical="top" wrapText="1" indent="2"/>
    </xf>
    <xf numFmtId="0" fontId="9" fillId="33" borderId="1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6" fontId="6" fillId="0" borderId="13" xfId="0" applyNumberFormat="1" applyFont="1" applyBorder="1" applyAlignment="1">
      <alignment/>
    </xf>
    <xf numFmtId="17" fontId="6" fillId="0" borderId="13" xfId="0" applyNumberFormat="1" applyFont="1" applyBorder="1" applyAlignment="1">
      <alignment/>
    </xf>
    <xf numFmtId="17" fontId="6" fillId="0" borderId="10" xfId="0" applyNumberFormat="1" applyFont="1" applyBorder="1" applyAlignment="1">
      <alignment/>
    </xf>
    <xf numFmtId="16" fontId="6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10" xfId="62" applyFont="1" applyFill="1" applyBorder="1" applyAlignment="1">
      <alignment/>
    </xf>
    <xf numFmtId="173" fontId="6" fillId="0" borderId="10" xfId="0" applyNumberFormat="1" applyFont="1" applyBorder="1" applyAlignment="1">
      <alignment/>
    </xf>
    <xf numFmtId="173" fontId="6" fillId="0" borderId="12" xfId="62" applyFont="1" applyFill="1" applyBorder="1" applyAlignment="1">
      <alignment/>
    </xf>
    <xf numFmtId="173" fontId="6" fillId="0" borderId="12" xfId="0" applyNumberFormat="1" applyFont="1" applyBorder="1" applyAlignment="1">
      <alignment/>
    </xf>
    <xf numFmtId="173" fontId="6" fillId="0" borderId="14" xfId="62" applyFont="1" applyFill="1" applyBorder="1" applyAlignment="1">
      <alignment/>
    </xf>
    <xf numFmtId="173" fontId="6" fillId="0" borderId="14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14" fontId="6" fillId="0" borderId="12" xfId="0" applyNumberFormat="1" applyFont="1" applyFill="1" applyBorder="1" applyAlignment="1">
      <alignment/>
    </xf>
    <xf numFmtId="173" fontId="6" fillId="0" borderId="13" xfId="62" applyFont="1" applyFill="1" applyBorder="1" applyAlignment="1">
      <alignment/>
    </xf>
    <xf numFmtId="14" fontId="6" fillId="0" borderId="0" xfId="0" applyNumberFormat="1" applyFont="1" applyAlignment="1">
      <alignment/>
    </xf>
    <xf numFmtId="49" fontId="6" fillId="0" borderId="10" xfId="54" applyNumberFormat="1" applyFont="1" applyBorder="1" applyAlignment="1">
      <alignment horizontal="left" vertical="top" wrapText="1"/>
      <protection/>
    </xf>
    <xf numFmtId="2" fontId="6" fillId="0" borderId="12" xfId="54" applyNumberFormat="1" applyFont="1" applyBorder="1" applyAlignment="1">
      <alignment horizontal="right" vertical="top" wrapText="1"/>
      <protection/>
    </xf>
    <xf numFmtId="173" fontId="6" fillId="0" borderId="0" xfId="62" applyFont="1" applyAlignment="1">
      <alignment/>
    </xf>
    <xf numFmtId="0" fontId="4" fillId="0" borderId="10" xfId="0" applyFont="1" applyBorder="1" applyAlignment="1">
      <alignment/>
    </xf>
    <xf numFmtId="2" fontId="6" fillId="0" borderId="10" xfId="53" applyNumberFormat="1" applyFont="1" applyBorder="1" applyAlignment="1">
      <alignment horizontal="left" wrapText="1"/>
      <protection/>
    </xf>
    <xf numFmtId="2" fontId="6" fillId="0" borderId="13" xfId="53" applyNumberFormat="1" applyFont="1" applyBorder="1" applyAlignment="1">
      <alignment horizontal="right" wrapText="1"/>
      <protection/>
    </xf>
    <xf numFmtId="2" fontId="6" fillId="0" borderId="12" xfId="53" applyNumberFormat="1" applyFont="1" applyBorder="1" applyAlignment="1">
      <alignment horizontal="left" wrapText="1"/>
      <protection/>
    </xf>
    <xf numFmtId="2" fontId="6" fillId="0" borderId="13" xfId="53" applyNumberFormat="1" applyFont="1" applyBorder="1" applyAlignment="1">
      <alignment horizontal="right"/>
      <protection/>
    </xf>
    <xf numFmtId="2" fontId="6" fillId="0" borderId="10" xfId="54" applyNumberFormat="1" applyFont="1" applyBorder="1" applyAlignment="1">
      <alignment vertical="top" wrapText="1"/>
      <protection/>
    </xf>
    <xf numFmtId="2" fontId="6" fillId="0" borderId="10" xfId="54" applyNumberFormat="1" applyFont="1" applyBorder="1" applyAlignment="1">
      <alignment vertical="top"/>
      <protection/>
    </xf>
    <xf numFmtId="2" fontId="6" fillId="0" borderId="10" xfId="53" applyNumberFormat="1" applyFont="1" applyBorder="1" applyAlignment="1">
      <alignment vertical="top" wrapText="1"/>
      <protection/>
    </xf>
    <xf numFmtId="2" fontId="6" fillId="0" borderId="10" xfId="53" applyNumberFormat="1" applyFont="1" applyBorder="1" applyAlignment="1">
      <alignment wrapText="1"/>
      <protection/>
    </xf>
    <xf numFmtId="2" fontId="6" fillId="0" borderId="12" xfId="53" applyNumberFormat="1" applyFont="1" applyBorder="1" applyAlignment="1">
      <alignment wrapText="1"/>
      <protection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0" xfId="54" applyNumberFormat="1" applyFont="1" applyBorder="1" applyAlignment="1">
      <alignment wrapText="1"/>
      <protection/>
    </xf>
    <xf numFmtId="49" fontId="6" fillId="0" borderId="10" xfId="53" applyNumberFormat="1" applyFont="1" applyBorder="1" applyAlignment="1">
      <alignment horizontal="center" vertical="top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49" fontId="6" fillId="0" borderId="12" xfId="53" applyNumberFormat="1" applyFont="1" applyBorder="1" applyAlignment="1">
      <alignment horizontal="center" wrapText="1"/>
      <protection/>
    </xf>
    <xf numFmtId="49" fontId="6" fillId="0" borderId="13" xfId="53" applyNumberFormat="1" applyFont="1" applyBorder="1" applyAlignment="1">
      <alignment horizontal="center" wrapText="1"/>
      <protection/>
    </xf>
    <xf numFmtId="49" fontId="6" fillId="0" borderId="10" xfId="53" applyNumberFormat="1" applyFont="1" applyFill="1" applyBorder="1" applyAlignment="1">
      <alignment horizontal="center" wrapText="1"/>
      <protection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49" fontId="6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49" fontId="6" fillId="0" borderId="23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6" fillId="0" borderId="21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14" fontId="6" fillId="0" borderId="14" xfId="0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173" fontId="6" fillId="0" borderId="17" xfId="62" applyFont="1" applyBorder="1" applyAlignment="1">
      <alignment/>
    </xf>
    <xf numFmtId="2" fontId="6" fillId="0" borderId="11" xfId="54" applyNumberFormat="1" applyFont="1" applyFill="1" applyBorder="1" applyAlignment="1">
      <alignment horizontal="left" vertical="top" wrapText="1"/>
      <protection/>
    </xf>
    <xf numFmtId="2" fontId="6" fillId="0" borderId="15" xfId="54" applyNumberFormat="1" applyFont="1" applyFill="1" applyBorder="1" applyAlignment="1">
      <alignment horizontal="left" vertical="top" wrapText="1"/>
      <protection/>
    </xf>
    <xf numFmtId="2" fontId="6" fillId="0" borderId="18" xfId="54" applyNumberFormat="1" applyFont="1" applyFill="1" applyBorder="1" applyAlignment="1">
      <alignment horizontal="left" vertical="top" wrapText="1"/>
      <protection/>
    </xf>
    <xf numFmtId="2" fontId="6" fillId="0" borderId="19" xfId="54" applyNumberFormat="1" applyFont="1" applyFill="1" applyBorder="1" applyAlignment="1">
      <alignment horizontal="left" vertical="top" wrapText="1"/>
      <protection/>
    </xf>
    <xf numFmtId="2" fontId="6" fillId="0" borderId="19" xfId="54" applyNumberFormat="1" applyFont="1" applyFill="1" applyBorder="1" applyAlignment="1">
      <alignment horizontal="right" vertical="top" wrapText="1"/>
      <protection/>
    </xf>
    <xf numFmtId="2" fontId="6" fillId="0" borderId="18" xfId="54" applyNumberFormat="1" applyFont="1" applyFill="1" applyBorder="1" applyAlignment="1">
      <alignment horizontal="right" vertical="top" wrapText="1"/>
      <protection/>
    </xf>
    <xf numFmtId="0" fontId="6" fillId="0" borderId="19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right" wrapText="1"/>
    </xf>
    <xf numFmtId="2" fontId="6" fillId="0" borderId="14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73" fontId="6" fillId="0" borderId="0" xfId="62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33" borderId="11" xfId="0" applyFont="1" applyFill="1" applyBorder="1" applyAlignment="1" quotePrefix="1">
      <alignment horizontal="left" vertical="top" wrapText="1"/>
    </xf>
    <xf numFmtId="0" fontId="6" fillId="0" borderId="21" xfId="0" applyFont="1" applyFill="1" applyBorder="1" applyAlignment="1">
      <alignment/>
    </xf>
    <xf numFmtId="173" fontId="6" fillId="0" borderId="15" xfId="62" applyFont="1" applyFill="1" applyBorder="1" applyAlignment="1">
      <alignment/>
    </xf>
    <xf numFmtId="2" fontId="6" fillId="0" borderId="10" xfId="54" applyNumberFormat="1" applyFont="1" applyBorder="1" applyAlignment="1" quotePrefix="1">
      <alignment horizontal="left" vertical="top" wrapText="1"/>
      <protection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6" fillId="0" borderId="24" xfId="62" applyFont="1" applyBorder="1" applyAlignment="1">
      <alignment/>
    </xf>
    <xf numFmtId="2" fontId="6" fillId="0" borderId="17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right" wrapText="1"/>
    </xf>
    <xf numFmtId="2" fontId="6" fillId="0" borderId="16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2" fontId="6" fillId="34" borderId="10" xfId="54" applyNumberFormat="1" applyFont="1" applyFill="1" applyBorder="1" applyAlignment="1">
      <alignment horizontal="center" vertical="top" wrapText="1"/>
      <protection/>
    </xf>
    <xf numFmtId="2" fontId="6" fillId="0" borderId="10" xfId="53" applyNumberFormat="1" applyFont="1" applyBorder="1" applyAlignment="1" quotePrefix="1">
      <alignment horizontal="left" vertical="top" wrapText="1"/>
      <protection/>
    </xf>
    <xf numFmtId="0" fontId="6" fillId="0" borderId="24" xfId="0" applyFont="1" applyBorder="1" applyAlignment="1">
      <alignment horizontal="left" wrapText="1"/>
    </xf>
    <xf numFmtId="2" fontId="6" fillId="0" borderId="21" xfId="54" applyNumberFormat="1" applyFont="1" applyBorder="1" applyAlignment="1" quotePrefix="1">
      <alignment horizontal="left" vertical="top" wrapText="1"/>
      <protection/>
    </xf>
    <xf numFmtId="2" fontId="6" fillId="0" borderId="12" xfId="54" applyNumberFormat="1" applyFont="1" applyBorder="1" applyAlignment="1" quotePrefix="1">
      <alignment horizontal="left" vertical="top" wrapText="1"/>
      <protection/>
    </xf>
    <xf numFmtId="0" fontId="6" fillId="0" borderId="14" xfId="0" applyFont="1" applyBorder="1" applyAlignment="1">
      <alignment horizontal="left" wrapText="1"/>
    </xf>
    <xf numFmtId="2" fontId="6" fillId="0" borderId="19" xfId="54" applyNumberFormat="1" applyFont="1" applyBorder="1" applyAlignment="1">
      <alignment horizontal="center" vertical="top" wrapText="1"/>
      <protection/>
    </xf>
    <xf numFmtId="2" fontId="6" fillId="0" borderId="21" xfId="54" applyNumberFormat="1" applyFont="1" applyBorder="1" applyAlignment="1">
      <alignment horizontal="center" vertical="top" wrapText="1"/>
      <protection/>
    </xf>
    <xf numFmtId="2" fontId="6" fillId="0" borderId="15" xfId="54" applyNumberFormat="1" applyFont="1" applyBorder="1" applyAlignment="1">
      <alignment horizontal="center" vertical="top" wrapText="1"/>
      <protection/>
    </xf>
    <xf numFmtId="2" fontId="6" fillId="0" borderId="18" xfId="54" applyNumberFormat="1" applyFont="1" applyBorder="1" applyAlignment="1">
      <alignment horizontal="center" vertical="top" wrapText="1"/>
      <protection/>
    </xf>
    <xf numFmtId="2" fontId="6" fillId="0" borderId="15" xfId="54" applyNumberFormat="1" applyFont="1" applyBorder="1" applyAlignment="1">
      <alignment horizontal="center" vertical="top" wrapText="1"/>
      <protection/>
    </xf>
    <xf numFmtId="2" fontId="6" fillId="0" borderId="18" xfId="54" applyNumberFormat="1" applyFont="1" applyBorder="1" applyAlignment="1">
      <alignment horizontal="center" vertical="top" wrapText="1"/>
      <protection/>
    </xf>
    <xf numFmtId="2" fontId="21" fillId="0" borderId="13" xfId="54" applyNumberFormat="1" applyFont="1" applyBorder="1" applyAlignment="1" quotePrefix="1">
      <alignment horizontal="center" vertical="top" wrapText="1"/>
      <protection/>
    </xf>
    <xf numFmtId="2" fontId="21" fillId="0" borderId="10" xfId="54" applyNumberFormat="1" applyFont="1" applyBorder="1" applyAlignment="1" quotePrefix="1">
      <alignment horizontal="center" vertical="top" wrapText="1"/>
      <protection/>
    </xf>
    <xf numFmtId="2" fontId="21" fillId="0" borderId="13" xfId="54" applyNumberFormat="1" applyFont="1" applyBorder="1" applyAlignment="1">
      <alignment horizontal="center" vertical="top" wrapText="1"/>
      <protection/>
    </xf>
    <xf numFmtId="2" fontId="21" fillId="0" borderId="12" xfId="54" applyNumberFormat="1" applyFont="1" applyBorder="1" applyAlignment="1" quotePrefix="1">
      <alignment horizontal="center" vertical="top" wrapText="1"/>
      <protection/>
    </xf>
    <xf numFmtId="2" fontId="21" fillId="0" borderId="14" xfId="54" applyNumberFormat="1" applyFont="1" applyBorder="1" applyAlignment="1">
      <alignment horizontal="center" vertical="top" wrapText="1"/>
      <protection/>
    </xf>
    <xf numFmtId="2" fontId="21" fillId="0" borderId="10" xfId="54" applyNumberFormat="1" applyFont="1" applyBorder="1" applyAlignment="1">
      <alignment horizontal="center" vertical="top" wrapText="1"/>
      <protection/>
    </xf>
    <xf numFmtId="2" fontId="21" fillId="0" borderId="23" xfId="54" applyNumberFormat="1" applyFont="1" applyBorder="1" applyAlignment="1" quotePrefix="1">
      <alignment horizontal="center" vertical="top" wrapText="1"/>
      <protection/>
    </xf>
    <xf numFmtId="2" fontId="21" fillId="0" borderId="23" xfId="54" applyNumberFormat="1" applyFont="1" applyBorder="1" applyAlignment="1">
      <alignment horizontal="center" vertical="top" wrapText="1"/>
      <protection/>
    </xf>
    <xf numFmtId="2" fontId="21" fillId="0" borderId="12" xfId="54" applyNumberFormat="1" applyFont="1" applyBorder="1" applyAlignment="1">
      <alignment horizontal="center" vertical="top" wrapText="1"/>
      <protection/>
    </xf>
    <xf numFmtId="0" fontId="21" fillId="0" borderId="13" xfId="0" applyFont="1" applyBorder="1" applyAlignment="1" quotePrefix="1">
      <alignment horizontal="center"/>
    </xf>
    <xf numFmtId="0" fontId="21" fillId="0" borderId="14" xfId="0" applyFont="1" applyBorder="1" applyAlignment="1" quotePrefix="1">
      <alignment horizontal="center"/>
    </xf>
    <xf numFmtId="0" fontId="21" fillId="0" borderId="12" xfId="0" applyFont="1" applyBorder="1" applyAlignment="1" quotePrefix="1">
      <alignment horizontal="center"/>
    </xf>
    <xf numFmtId="0" fontId="6" fillId="0" borderId="23" xfId="0" applyFont="1" applyBorder="1" applyAlignment="1">
      <alignment/>
    </xf>
    <xf numFmtId="173" fontId="6" fillId="0" borderId="19" xfId="62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173" fontId="6" fillId="0" borderId="15" xfId="62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173" fontId="6" fillId="0" borderId="12" xfId="62" applyFont="1" applyBorder="1" applyAlignment="1">
      <alignment horizontal="left"/>
    </xf>
    <xf numFmtId="0" fontId="21" fillId="0" borderId="1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21" fillId="0" borderId="12" xfId="0" applyFont="1" applyBorder="1" applyAlignment="1" quotePrefix="1">
      <alignment horizontal="left"/>
    </xf>
    <xf numFmtId="0" fontId="21" fillId="0" borderId="14" xfId="0" applyFont="1" applyBorder="1" applyAlignment="1" quotePrefix="1">
      <alignment horizontal="left" vertical="justify"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4" xfId="0" applyFont="1" applyBorder="1" applyAlignment="1" quotePrefix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2" xfId="0" applyFont="1" applyBorder="1" applyAlignment="1" quotePrefix="1">
      <alignment horizontal="left" vertical="top"/>
    </xf>
    <xf numFmtId="0" fontId="6" fillId="0" borderId="23" xfId="0" applyFont="1" applyBorder="1" applyAlignment="1">
      <alignment horizontal="center" wrapText="1"/>
    </xf>
    <xf numFmtId="0" fontId="21" fillId="0" borderId="13" xfId="0" applyFont="1" applyBorder="1" applyAlignment="1" quotePrefix="1">
      <alignment horizontal="left"/>
    </xf>
    <xf numFmtId="0" fontId="21" fillId="0" borderId="23" xfId="0" applyFont="1" applyBorder="1" applyAlignment="1" quotePrefix="1">
      <alignment horizontal="left"/>
    </xf>
    <xf numFmtId="0" fontId="21" fillId="0" borderId="24" xfId="0" applyFont="1" applyBorder="1" applyAlignment="1" quotePrefix="1">
      <alignment horizontal="left"/>
    </xf>
    <xf numFmtId="0" fontId="21" fillId="0" borderId="21" xfId="0" applyFont="1" applyBorder="1" applyAlignment="1" quotePrefix="1">
      <alignment horizontal="left"/>
    </xf>
    <xf numFmtId="0" fontId="6" fillId="33" borderId="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horizontal="left" vertical="top" wrapText="1" indent="1"/>
    </xf>
    <xf numFmtId="0" fontId="6" fillId="33" borderId="16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top" wrapText="1"/>
    </xf>
    <xf numFmtId="2" fontId="21" fillId="0" borderId="14" xfId="54" applyNumberFormat="1" applyFont="1" applyBorder="1" applyAlignment="1" quotePrefix="1">
      <alignment horizontal="center" vertical="top" wrapText="1"/>
      <protection/>
    </xf>
    <xf numFmtId="0" fontId="21" fillId="0" borderId="14" xfId="0" applyFont="1" applyBorder="1" applyAlignment="1">
      <alignment/>
    </xf>
    <xf numFmtId="0" fontId="9" fillId="33" borderId="19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3" fontId="6" fillId="0" borderId="16" xfId="62" applyFont="1" applyBorder="1" applyAlignment="1">
      <alignment/>
    </xf>
    <xf numFmtId="173" fontId="6" fillId="0" borderId="21" xfId="62" applyFont="1" applyBorder="1" applyAlignment="1">
      <alignment/>
    </xf>
    <xf numFmtId="173" fontId="6" fillId="0" borderId="20" xfId="62" applyFont="1" applyBorder="1" applyAlignment="1">
      <alignment/>
    </xf>
    <xf numFmtId="0" fontId="21" fillId="0" borderId="10" xfId="0" applyFont="1" applyFill="1" applyBorder="1" applyAlignment="1" quotePrefix="1">
      <alignment horizontal="left"/>
    </xf>
    <xf numFmtId="173" fontId="6" fillId="0" borderId="18" xfId="62" applyFont="1" applyFill="1" applyBorder="1" applyAlignment="1">
      <alignment/>
    </xf>
    <xf numFmtId="0" fontId="21" fillId="0" borderId="12" xfId="0" applyFont="1" applyFill="1" applyBorder="1" applyAlignment="1" quotePrefix="1">
      <alignment horizontal="left"/>
    </xf>
    <xf numFmtId="0" fontId="21" fillId="0" borderId="14" xfId="0" applyFont="1" applyFill="1" applyBorder="1" applyAlignment="1" quotePrefix="1">
      <alignment horizontal="left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73" fontId="6" fillId="0" borderId="15" xfId="62" applyFont="1" applyBorder="1" applyAlignment="1">
      <alignment/>
    </xf>
    <xf numFmtId="173" fontId="6" fillId="0" borderId="19" xfId="62" applyFont="1" applyBorder="1" applyAlignment="1">
      <alignment/>
    </xf>
    <xf numFmtId="173" fontId="6" fillId="0" borderId="18" xfId="62" applyFont="1" applyBorder="1" applyAlignment="1">
      <alignment/>
    </xf>
    <xf numFmtId="0" fontId="6" fillId="0" borderId="10" xfId="0" applyFont="1" applyBorder="1" applyAlignment="1" quotePrefix="1">
      <alignment horizontal="left" wrapText="1"/>
    </xf>
    <xf numFmtId="0" fontId="21" fillId="0" borderId="13" xfId="0" applyFont="1" applyFill="1" applyBorder="1" applyAlignment="1" quotePrefix="1">
      <alignment horizontal="left"/>
    </xf>
    <xf numFmtId="173" fontId="6" fillId="0" borderId="19" xfId="62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quotePrefix="1">
      <alignment horizontal="left" wrapText="1"/>
    </xf>
    <xf numFmtId="0" fontId="6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2" fontId="6" fillId="0" borderId="10" xfId="54" applyNumberFormat="1" applyFont="1" applyFill="1" applyBorder="1" applyAlignment="1">
      <alignment horizontal="center" vertical="top" wrapText="1"/>
      <protection/>
    </xf>
    <xf numFmtId="2" fontId="6" fillId="0" borderId="11" xfId="54" applyNumberFormat="1" applyFont="1" applyBorder="1" applyAlignment="1" quotePrefix="1">
      <alignment horizontal="left" vertical="top" wrapText="1"/>
      <protection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49" fontId="6" fillId="0" borderId="10" xfId="0" applyNumberFormat="1" applyFont="1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4" fillId="0" borderId="11" xfId="54" applyNumberFormat="1" applyFont="1" applyFill="1" applyBorder="1" applyAlignment="1">
      <alignment horizontal="center" vertical="top" wrapText="1"/>
      <protection/>
    </xf>
    <xf numFmtId="173" fontId="6" fillId="0" borderId="0" xfId="62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3" fillId="0" borderId="0" xfId="42" applyFont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2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9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6" fillId="0" borderId="14" xfId="54" applyNumberFormat="1" applyFont="1" applyBorder="1" applyAlignment="1">
      <alignment horizontal="left" vertical="top"/>
      <protection/>
    </xf>
    <xf numFmtId="0" fontId="6" fillId="34" borderId="0" xfId="0" applyFont="1" applyFill="1" applyBorder="1" applyAlignment="1">
      <alignment/>
    </xf>
    <xf numFmtId="2" fontId="6" fillId="0" borderId="23" xfId="54" applyNumberFormat="1" applyFont="1" applyBorder="1" applyAlignment="1">
      <alignment horizontal="center" vertical="top" wrapText="1"/>
      <protection/>
    </xf>
    <xf numFmtId="49" fontId="6" fillId="0" borderId="14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62" applyFont="1" applyFill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0" fontId="21" fillId="0" borderId="10" xfId="0" applyFont="1" applyFill="1" applyBorder="1" applyAlignment="1" quotePrefix="1">
      <alignment horizontal="left" vertical="top"/>
    </xf>
    <xf numFmtId="173" fontId="6" fillId="0" borderId="10" xfId="62" applyFont="1" applyBorder="1" applyAlignment="1">
      <alignment vertical="top"/>
    </xf>
    <xf numFmtId="49" fontId="4" fillId="0" borderId="0" xfId="0" applyNumberFormat="1" applyFont="1" applyAlignment="1">
      <alignment horizontal="center"/>
    </xf>
    <xf numFmtId="49" fontId="4" fillId="0" borderId="12" xfId="54" applyNumberFormat="1" applyFont="1" applyBorder="1" applyAlignment="1">
      <alignment horizontal="center" vertical="center" wrapText="1"/>
      <protection/>
    </xf>
    <xf numFmtId="2" fontId="4" fillId="0" borderId="15" xfId="54" applyNumberFormat="1" applyFont="1" applyBorder="1" applyAlignment="1">
      <alignment horizontal="center" vertical="center" wrapText="1"/>
      <protection/>
    </xf>
    <xf numFmtId="2" fontId="4" fillId="0" borderId="12" xfId="54" applyNumberFormat="1" applyFont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49" fontId="6" fillId="35" borderId="2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2" fontId="21" fillId="0" borderId="24" xfId="54" applyNumberFormat="1" applyFont="1" applyBorder="1" applyAlignment="1" quotePrefix="1">
      <alignment horizontal="center" vertical="top" wrapText="1"/>
      <protection/>
    </xf>
    <xf numFmtId="49" fontId="6" fillId="35" borderId="24" xfId="0" applyNumberFormat="1" applyFont="1" applyFill="1" applyBorder="1" applyAlignment="1">
      <alignment vertical="top"/>
    </xf>
    <xf numFmtId="49" fontId="6" fillId="35" borderId="23" xfId="0" applyNumberFormat="1" applyFont="1" applyFill="1" applyBorder="1" applyAlignment="1">
      <alignment/>
    </xf>
    <xf numFmtId="49" fontId="6" fillId="35" borderId="24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49" fontId="6" fillId="35" borderId="21" xfId="0" applyNumberFormat="1" applyFont="1" applyFill="1" applyBorder="1" applyAlignment="1">
      <alignment/>
    </xf>
    <xf numFmtId="49" fontId="6" fillId="35" borderId="22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2" fontId="6" fillId="0" borderId="24" xfId="54" applyNumberFormat="1" applyFont="1" applyBorder="1" applyAlignment="1">
      <alignment horizontal="center" vertical="top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left" vertical="top"/>
      <protection/>
    </xf>
    <xf numFmtId="2" fontId="6" fillId="0" borderId="0" xfId="54" applyNumberFormat="1" applyFont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14" xfId="54" applyNumberFormat="1" applyFont="1" applyBorder="1" applyAlignment="1">
      <alignment horizontal="center" vertical="top"/>
      <protection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2" fontId="6" fillId="0" borderId="14" xfId="54" applyNumberFormat="1" applyFont="1" applyBorder="1" applyAlignment="1">
      <alignment horizontal="center" vertical="top"/>
      <protection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4" fillId="0" borderId="11" xfId="54" applyNumberFormat="1" applyFont="1" applyBorder="1" applyAlignment="1">
      <alignment horizontal="center" vertical="center" wrapText="1"/>
      <protection/>
    </xf>
    <xf numFmtId="2" fontId="6" fillId="0" borderId="14" xfId="54" applyNumberFormat="1" applyFont="1" applyBorder="1" applyAlignment="1">
      <alignment vertical="top" wrapText="1"/>
      <protection/>
    </xf>
    <xf numFmtId="0" fontId="21" fillId="0" borderId="22" xfId="0" applyFont="1" applyBorder="1" applyAlignment="1" quotePrefix="1">
      <alignment horizontal="left"/>
    </xf>
    <xf numFmtId="0" fontId="21" fillId="0" borderId="13" xfId="0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6" fillId="0" borderId="14" xfId="53" applyNumberFormat="1" applyFont="1" applyBorder="1" applyAlignment="1">
      <alignment wrapText="1"/>
      <protection/>
    </xf>
    <xf numFmtId="0" fontId="4" fillId="0" borderId="0" xfId="0" applyFont="1" applyBorder="1" applyAlignment="1">
      <alignment horizontal="center"/>
    </xf>
    <xf numFmtId="49" fontId="6" fillId="0" borderId="24" xfId="0" applyNumberFormat="1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/>
    </xf>
    <xf numFmtId="0" fontId="6" fillId="35" borderId="0" xfId="0" applyFont="1" applyFill="1" applyAlignment="1">
      <alignment/>
    </xf>
    <xf numFmtId="165" fontId="6" fillId="0" borderId="0" xfId="0" applyNumberFormat="1" applyFont="1" applyAlignment="1">
      <alignment/>
    </xf>
    <xf numFmtId="173" fontId="6" fillId="0" borderId="12" xfId="62" applyFont="1" applyBorder="1" applyAlignment="1">
      <alignment horizontal="center" vertical="top"/>
    </xf>
    <xf numFmtId="173" fontId="6" fillId="0" borderId="14" xfId="62" applyFont="1" applyBorder="1" applyAlignment="1">
      <alignment horizontal="center" vertical="top"/>
    </xf>
    <xf numFmtId="2" fontId="4" fillId="0" borderId="12" xfId="54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49" fontId="4" fillId="0" borderId="12" xfId="54" applyNumberFormat="1" applyFont="1" applyBorder="1" applyAlignment="1">
      <alignment horizontal="center" vertical="center" wrapText="1"/>
      <protection/>
    </xf>
    <xf numFmtId="2" fontId="4" fillId="0" borderId="15" xfId="54" applyNumberFormat="1" applyFont="1" applyBorder="1" applyAlignment="1">
      <alignment horizontal="center" vertical="center" wrapText="1"/>
      <protection/>
    </xf>
    <xf numFmtId="2" fontId="4" fillId="0" borderId="12" xfId="54" applyNumberFormat="1" applyFont="1" applyBorder="1" applyAlignment="1">
      <alignment horizontal="center" vertical="center" wrapText="1"/>
      <protection/>
    </xf>
    <xf numFmtId="2" fontId="63" fillId="0" borderId="10" xfId="54" applyNumberFormat="1" applyFont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left"/>
    </xf>
    <xf numFmtId="182" fontId="6" fillId="0" borderId="0" xfId="0" applyNumberFormat="1" applyFont="1" applyAlignment="1">
      <alignment/>
    </xf>
    <xf numFmtId="49" fontId="6" fillId="35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2" fontId="4" fillId="0" borderId="0" xfId="0" applyNumberFormat="1" applyFont="1" applyAlignment="1">
      <alignment/>
    </xf>
    <xf numFmtId="182" fontId="4" fillId="0" borderId="15" xfId="54" applyNumberFormat="1" applyFont="1" applyBorder="1" applyAlignment="1">
      <alignment horizontal="center" vertical="center" wrapText="1"/>
      <protection/>
    </xf>
    <xf numFmtId="182" fontId="6" fillId="0" borderId="10" xfId="62" applyNumberFormat="1" applyFont="1" applyBorder="1" applyAlignment="1">
      <alignment/>
    </xf>
    <xf numFmtId="182" fontId="64" fillId="0" borderId="0" xfId="62" applyNumberFormat="1" applyFont="1" applyAlignment="1">
      <alignment/>
    </xf>
    <xf numFmtId="182" fontId="13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63" fillId="0" borderId="10" xfId="54" applyNumberFormat="1" applyFont="1" applyBorder="1" applyAlignment="1">
      <alignment horizontal="center" vertical="center" wrapText="1"/>
      <protection/>
    </xf>
    <xf numFmtId="182" fontId="4" fillId="0" borderId="10" xfId="54" applyNumberFormat="1" applyFont="1" applyBorder="1" applyAlignment="1">
      <alignment horizontal="center" vertical="center" wrapText="1"/>
      <protection/>
    </xf>
    <xf numFmtId="182" fontId="6" fillId="0" borderId="0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Fill="1" applyAlignment="1">
      <alignment/>
    </xf>
    <xf numFmtId="182" fontId="4" fillId="0" borderId="12" xfId="54" applyNumberFormat="1" applyFont="1" applyBorder="1" applyAlignment="1">
      <alignment horizontal="center" vertical="center" wrapText="1"/>
      <protection/>
    </xf>
    <xf numFmtId="182" fontId="4" fillId="0" borderId="15" xfId="54" applyNumberFormat="1" applyFont="1" applyBorder="1" applyAlignment="1">
      <alignment horizontal="center" vertical="center" wrapText="1"/>
      <protection/>
    </xf>
    <xf numFmtId="182" fontId="6" fillId="0" borderId="13" xfId="0" applyNumberFormat="1" applyFont="1" applyBorder="1" applyAlignment="1">
      <alignment/>
    </xf>
    <xf numFmtId="182" fontId="6" fillId="0" borderId="13" xfId="54" applyNumberFormat="1" applyFont="1" applyBorder="1" applyAlignment="1">
      <alignment horizontal="center" vertical="top" wrapText="1"/>
      <protection/>
    </xf>
    <xf numFmtId="182" fontId="6" fillId="0" borderId="12" xfId="0" applyNumberFormat="1" applyFont="1" applyBorder="1" applyAlignment="1">
      <alignment/>
    </xf>
    <xf numFmtId="182" fontId="6" fillId="0" borderId="10" xfId="54" applyNumberFormat="1" applyFont="1" applyBorder="1" applyAlignment="1">
      <alignment horizontal="center" vertical="top" wrapText="1"/>
      <protection/>
    </xf>
    <xf numFmtId="182" fontId="6" fillId="0" borderId="14" xfId="54" applyNumberFormat="1" applyFont="1" applyBorder="1" applyAlignment="1">
      <alignment horizontal="center" vertical="top" wrapText="1"/>
      <protection/>
    </xf>
    <xf numFmtId="182" fontId="6" fillId="0" borderId="12" xfId="54" applyNumberFormat="1" applyFont="1" applyBorder="1" applyAlignment="1">
      <alignment horizontal="center" vertical="top" wrapText="1"/>
      <protection/>
    </xf>
    <xf numFmtId="182" fontId="6" fillId="0" borderId="10" xfId="54" applyNumberFormat="1" applyFont="1" applyFill="1" applyBorder="1" applyAlignment="1">
      <alignment horizontal="center" vertical="top" wrapText="1"/>
      <protection/>
    </xf>
    <xf numFmtId="182" fontId="6" fillId="0" borderId="13" xfId="62" applyNumberFormat="1" applyFont="1" applyBorder="1" applyAlignment="1">
      <alignment/>
    </xf>
    <xf numFmtId="182" fontId="6" fillId="0" borderId="14" xfId="62" applyNumberFormat="1" applyFont="1" applyBorder="1" applyAlignment="1">
      <alignment/>
    </xf>
    <xf numFmtId="182" fontId="6" fillId="0" borderId="12" xfId="62" applyNumberFormat="1" applyFont="1" applyBorder="1" applyAlignment="1">
      <alignment horizontal="center" vertical="top"/>
    </xf>
    <xf numFmtId="182" fontId="6" fillId="0" borderId="14" xfId="62" applyNumberFormat="1" applyFont="1" applyBorder="1" applyAlignment="1">
      <alignment horizontal="center" vertical="top"/>
    </xf>
    <xf numFmtId="182" fontId="6" fillId="0" borderId="12" xfId="62" applyNumberFormat="1" applyFont="1" applyBorder="1" applyAlignment="1">
      <alignment/>
    </xf>
    <xf numFmtId="182" fontId="6" fillId="0" borderId="10" xfId="54" applyNumberFormat="1" applyFont="1" applyBorder="1" applyAlignment="1">
      <alignment horizontal="center" vertical="top" wrapText="1"/>
      <protection/>
    </xf>
    <xf numFmtId="182" fontId="6" fillId="0" borderId="13" xfId="54" applyNumberFormat="1" applyFont="1" applyBorder="1" applyAlignment="1">
      <alignment horizontal="center" vertical="top" wrapText="1"/>
      <protection/>
    </xf>
    <xf numFmtId="182" fontId="6" fillId="0" borderId="14" xfId="54" applyNumberFormat="1" applyFont="1" applyBorder="1" applyAlignment="1">
      <alignment horizontal="center" vertical="top" wrapText="1"/>
      <protection/>
    </xf>
    <xf numFmtId="182" fontId="6" fillId="0" borderId="10" xfId="62" applyNumberFormat="1" applyFont="1" applyFill="1" applyBorder="1" applyAlignment="1">
      <alignment/>
    </xf>
    <xf numFmtId="182" fontId="4" fillId="0" borderId="10" xfId="54" applyNumberFormat="1" applyFont="1" applyBorder="1" applyAlignment="1">
      <alignment horizontal="center" vertical="center" wrapText="1"/>
      <protection/>
    </xf>
    <xf numFmtId="182" fontId="6" fillId="0" borderId="12" xfId="54" applyNumberFormat="1" applyFont="1" applyBorder="1" applyAlignment="1">
      <alignment horizontal="center" vertical="top" wrapText="1"/>
      <protection/>
    </xf>
    <xf numFmtId="182" fontId="4" fillId="0" borderId="0" xfId="0" applyNumberFormat="1" applyFont="1" applyAlignment="1">
      <alignment horizontal="center"/>
    </xf>
    <xf numFmtId="182" fontId="10" fillId="0" borderId="0" xfId="0" applyNumberFormat="1" applyFont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0" fillId="0" borderId="14" xfId="0" applyNumberFormat="1" applyFill="1" applyBorder="1" applyAlignment="1">
      <alignment horizontal="center" vertical="top" wrapText="1"/>
    </xf>
    <xf numFmtId="182" fontId="6" fillId="0" borderId="12" xfId="0" applyNumberFormat="1" applyFont="1" applyBorder="1" applyAlignment="1">
      <alignment horizontal="center"/>
    </xf>
    <xf numFmtId="182" fontId="6" fillId="0" borderId="14" xfId="54" applyNumberFormat="1" applyFont="1" applyBorder="1" applyAlignment="1">
      <alignment horizontal="center" vertical="top"/>
      <protection/>
    </xf>
    <xf numFmtId="182" fontId="6" fillId="0" borderId="13" xfId="62" applyNumberFormat="1" applyFont="1" applyBorder="1" applyAlignment="1">
      <alignment horizontal="center"/>
    </xf>
    <xf numFmtId="182" fontId="6" fillId="0" borderId="14" xfId="62" applyNumberFormat="1" applyFont="1" applyBorder="1" applyAlignment="1">
      <alignment horizontal="center"/>
    </xf>
    <xf numFmtId="182" fontId="6" fillId="0" borderId="12" xfId="62" applyNumberFormat="1" applyFont="1" applyBorder="1" applyAlignment="1">
      <alignment horizontal="center"/>
    </xf>
    <xf numFmtId="182" fontId="6" fillId="0" borderId="10" xfId="62" applyNumberFormat="1" applyFont="1" applyFill="1" applyBorder="1" applyAlignment="1">
      <alignment horizontal="center"/>
    </xf>
    <xf numFmtId="182" fontId="6" fillId="0" borderId="14" xfId="54" applyNumberFormat="1" applyFont="1" applyBorder="1" applyAlignment="1">
      <alignment horizontal="center" vertical="top"/>
      <protection/>
    </xf>
    <xf numFmtId="182" fontId="6" fillId="0" borderId="10" xfId="62" applyNumberFormat="1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182" fontId="6" fillId="0" borderId="10" xfId="62" applyNumberFormat="1" applyFont="1" applyBorder="1" applyAlignment="1">
      <alignment/>
    </xf>
    <xf numFmtId="182" fontId="6" fillId="0" borderId="10" xfId="62" applyNumberFormat="1" applyFont="1" applyBorder="1" applyAlignment="1">
      <alignment vertical="top"/>
    </xf>
    <xf numFmtId="182" fontId="6" fillId="0" borderId="10" xfId="62" applyNumberFormat="1" applyFont="1" applyBorder="1" applyAlignment="1">
      <alignment horizontal="center" vertical="top"/>
    </xf>
    <xf numFmtId="2" fontId="6" fillId="0" borderId="14" xfId="62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21" fillId="0" borderId="12" xfId="54" applyNumberFormat="1" applyFont="1" applyBorder="1" applyAlignment="1" quotePrefix="1">
      <alignment horizontal="center" vertical="top" wrapText="1"/>
      <protection/>
    </xf>
    <xf numFmtId="182" fontId="6" fillId="0" borderId="10" xfId="62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2" fontId="21" fillId="0" borderId="14" xfId="54" applyNumberFormat="1" applyFont="1" applyBorder="1" applyAlignment="1" quotePrefix="1">
      <alignment horizontal="center" vertical="top" wrapText="1"/>
      <protection/>
    </xf>
    <xf numFmtId="0" fontId="21" fillId="0" borderId="10" xfId="0" applyFont="1" applyBorder="1" applyAlignment="1" quotePrefix="1">
      <alignment horizontal="center" vertical="top"/>
    </xf>
    <xf numFmtId="0" fontId="6" fillId="0" borderId="20" xfId="0" applyFont="1" applyBorder="1" applyAlignment="1">
      <alignment horizontal="center" vertical="top"/>
    </xf>
    <xf numFmtId="0" fontId="21" fillId="0" borderId="12" xfId="0" applyFont="1" applyBorder="1" applyAlignment="1" quotePrefix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1" fillId="0" borderId="14" xfId="0" applyFont="1" applyBorder="1" applyAlignment="1" quotePrefix="1">
      <alignment horizontal="center" vertical="top"/>
    </xf>
    <xf numFmtId="0" fontId="21" fillId="0" borderId="21" xfId="0" applyFont="1" applyFill="1" applyBorder="1" applyAlignment="1" quotePrefix="1">
      <alignment horizontal="center" vertical="top"/>
    </xf>
    <xf numFmtId="2" fontId="21" fillId="0" borderId="24" xfId="54" applyNumberFormat="1" applyFont="1" applyFill="1" applyBorder="1" applyAlignment="1" quotePrefix="1">
      <alignment horizontal="center" vertical="top" wrapText="1"/>
      <protection/>
    </xf>
    <xf numFmtId="0" fontId="6" fillId="0" borderId="19" xfId="0" applyFont="1" applyBorder="1" applyAlignment="1">
      <alignment horizontal="center" vertical="top"/>
    </xf>
    <xf numFmtId="0" fontId="21" fillId="0" borderId="13" xfId="0" applyFont="1" applyBorder="1" applyAlignment="1" quotePrefix="1">
      <alignment horizontal="center" vertical="top"/>
    </xf>
    <xf numFmtId="0" fontId="21" fillId="0" borderId="12" xfId="0" applyFont="1" applyFill="1" applyBorder="1" applyAlignment="1" quotePrefix="1">
      <alignment horizontal="center" vertical="top"/>
    </xf>
    <xf numFmtId="0" fontId="6" fillId="0" borderId="23" xfId="0" applyFont="1" applyBorder="1" applyAlignment="1">
      <alignment horizontal="center" vertical="top"/>
    </xf>
    <xf numFmtId="2" fontId="21" fillId="0" borderId="13" xfId="54" applyNumberFormat="1" applyFont="1" applyFill="1" applyBorder="1" applyAlignment="1" quotePrefix="1">
      <alignment horizontal="center" vertical="top" wrapText="1"/>
      <protection/>
    </xf>
    <xf numFmtId="0" fontId="5" fillId="0" borderId="11" xfId="0" applyFont="1" applyBorder="1" applyAlignment="1">
      <alignment horizontal="center" vertical="top"/>
    </xf>
    <xf numFmtId="2" fontId="21" fillId="0" borderId="14" xfId="54" applyNumberFormat="1" applyFont="1" applyFill="1" applyBorder="1" applyAlignment="1" quotePrefix="1">
      <alignment horizontal="center" vertical="top" wrapText="1"/>
      <protection/>
    </xf>
    <xf numFmtId="0" fontId="6" fillId="0" borderId="10" xfId="0" applyFont="1" applyBorder="1" applyAlignment="1">
      <alignment horizontal="center" vertical="top"/>
    </xf>
    <xf numFmtId="182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1" fillId="0" borderId="13" xfId="0" applyFont="1" applyBorder="1" applyAlignment="1" quotePrefix="1">
      <alignment horizontal="center" vertical="top"/>
    </xf>
    <xf numFmtId="173" fontId="6" fillId="0" borderId="13" xfId="62" applyFont="1" applyBorder="1" applyAlignment="1">
      <alignment horizontal="center" vertical="top"/>
    </xf>
    <xf numFmtId="182" fontId="6" fillId="0" borderId="13" xfId="62" applyNumberFormat="1" applyFont="1" applyBorder="1" applyAlignment="1">
      <alignment horizontal="center" vertical="top"/>
    </xf>
    <xf numFmtId="0" fontId="21" fillId="0" borderId="12" xfId="0" applyFont="1" applyBorder="1" applyAlignment="1" quotePrefix="1">
      <alignment horizontal="center" vertical="top"/>
    </xf>
    <xf numFmtId="0" fontId="21" fillId="0" borderId="14" xfId="0" applyFont="1" applyBorder="1" applyAlignment="1" quotePrefix="1">
      <alignment horizontal="center" vertical="top"/>
    </xf>
    <xf numFmtId="182" fontId="6" fillId="0" borderId="13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49" fontId="4" fillId="0" borderId="10" xfId="54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quotePrefix="1">
      <alignment horizontal="left" vertical="top" wrapText="1"/>
      <protection/>
    </xf>
    <xf numFmtId="0" fontId="6" fillId="0" borderId="13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182" fontId="6" fillId="0" borderId="0" xfId="0" applyNumberFormat="1" applyFont="1" applyFill="1" applyAlignment="1">
      <alignment horizontal="center" vertical="top"/>
    </xf>
    <xf numFmtId="182" fontId="6" fillId="0" borderId="0" xfId="0" applyNumberFormat="1" applyFont="1" applyAlignment="1">
      <alignment horizontal="center" vertical="top"/>
    </xf>
    <xf numFmtId="182" fontId="6" fillId="0" borderId="18" xfId="54" applyNumberFormat="1" applyFont="1" applyBorder="1" applyAlignment="1">
      <alignment horizontal="center" vertical="top" wrapText="1"/>
      <protection/>
    </xf>
    <xf numFmtId="182" fontId="4" fillId="0" borderId="10" xfId="54" applyNumberFormat="1" applyFont="1" applyBorder="1" applyAlignment="1">
      <alignment horizontal="center" vertical="top" wrapText="1"/>
      <protection/>
    </xf>
    <xf numFmtId="182" fontId="4" fillId="0" borderId="12" xfId="54" applyNumberFormat="1" applyFont="1" applyBorder="1" applyAlignment="1">
      <alignment horizontal="center" vertical="top" wrapText="1"/>
      <protection/>
    </xf>
    <xf numFmtId="182" fontId="4" fillId="0" borderId="15" xfId="54" applyNumberFormat="1" applyFont="1" applyBorder="1" applyAlignment="1">
      <alignment horizontal="center" vertical="top" wrapText="1"/>
      <protection/>
    </xf>
    <xf numFmtId="0" fontId="21" fillId="0" borderId="10" xfId="0" applyFont="1" applyBorder="1" applyAlignment="1">
      <alignment horizontal="center" vertical="top"/>
    </xf>
    <xf numFmtId="173" fontId="6" fillId="33" borderId="10" xfId="62" applyFont="1" applyFill="1" applyBorder="1" applyAlignment="1">
      <alignment horizontal="center" vertical="top"/>
    </xf>
    <xf numFmtId="173" fontId="6" fillId="0" borderId="10" xfId="62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6" fillId="0" borderId="15" xfId="54" applyNumberFormat="1" applyFont="1" applyBorder="1" applyAlignment="1">
      <alignment horizontal="center" vertical="top" wrapText="1"/>
      <protection/>
    </xf>
    <xf numFmtId="182" fontId="6" fillId="0" borderId="19" xfId="54" applyNumberFormat="1" applyFont="1" applyBorder="1" applyAlignment="1">
      <alignment horizontal="center" vertical="top" wrapText="1"/>
      <protection/>
    </xf>
    <xf numFmtId="182" fontId="63" fillId="0" borderId="12" xfId="54" applyNumberFormat="1" applyFont="1" applyBorder="1" applyAlignment="1">
      <alignment horizontal="center" vertical="center" wrapText="1"/>
      <protection/>
    </xf>
    <xf numFmtId="182" fontId="4" fillId="0" borderId="12" xfId="54" applyNumberFormat="1" applyFont="1" applyBorder="1" applyAlignment="1">
      <alignment horizontal="center" vertical="center" wrapText="1"/>
      <protection/>
    </xf>
    <xf numFmtId="182" fontId="6" fillId="0" borderId="20" xfId="0" applyNumberFormat="1" applyFont="1" applyBorder="1" applyAlignment="1">
      <alignment horizontal="center" vertical="top"/>
    </xf>
    <xf numFmtId="182" fontId="6" fillId="0" borderId="16" xfId="0" applyNumberFormat="1" applyFont="1" applyBorder="1" applyAlignment="1">
      <alignment horizontal="center" vertical="top"/>
    </xf>
    <xf numFmtId="182" fontId="6" fillId="0" borderId="17" xfId="0" applyNumberFormat="1" applyFont="1" applyBorder="1" applyAlignment="1">
      <alignment horizontal="center" vertical="top"/>
    </xf>
    <xf numFmtId="182" fontId="6" fillId="0" borderId="0" xfId="0" applyNumberFormat="1" applyFont="1" applyBorder="1" applyAlignment="1">
      <alignment horizontal="center" vertical="top"/>
    </xf>
    <xf numFmtId="182" fontId="6" fillId="0" borderId="19" xfId="0" applyNumberFormat="1" applyFont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top" wrapText="1" indent="2"/>
    </xf>
    <xf numFmtId="0" fontId="9" fillId="33" borderId="2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left" vertical="top" wrapText="1"/>
    </xf>
    <xf numFmtId="182" fontId="63" fillId="0" borderId="21" xfId="54" applyNumberFormat="1" applyFont="1" applyBorder="1" applyAlignment="1">
      <alignment horizontal="center" vertical="center" wrapText="1"/>
      <protection/>
    </xf>
    <xf numFmtId="182" fontId="6" fillId="0" borderId="14" xfId="0" applyNumberFormat="1" applyFont="1" applyBorder="1" applyAlignment="1">
      <alignment horizontal="center" vertical="top"/>
    </xf>
    <xf numFmtId="182" fontId="6" fillId="0" borderId="10" xfId="0" applyNumberFormat="1" applyFont="1" applyBorder="1" applyAlignment="1">
      <alignment horizontal="center" vertical="top"/>
    </xf>
    <xf numFmtId="182" fontId="6" fillId="0" borderId="17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20" xfId="0" applyNumberFormat="1" applyFont="1" applyBorder="1" applyAlignment="1">
      <alignment/>
    </xf>
    <xf numFmtId="182" fontId="4" fillId="0" borderId="11" xfId="54" applyNumberFormat="1" applyFont="1" applyBorder="1" applyAlignment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top" wrapText="1"/>
    </xf>
    <xf numFmtId="182" fontId="6" fillId="0" borderId="0" xfId="62" applyNumberFormat="1" applyFont="1" applyAlignment="1">
      <alignment/>
    </xf>
    <xf numFmtId="182" fontId="6" fillId="0" borderId="10" xfId="0" applyNumberFormat="1" applyFont="1" applyBorder="1" applyAlignment="1">
      <alignment horizontal="center"/>
    </xf>
    <xf numFmtId="182" fontId="6" fillId="0" borderId="14" xfId="0" applyNumberFormat="1" applyFont="1" applyBorder="1" applyAlignment="1">
      <alignment horizontal="center"/>
    </xf>
    <xf numFmtId="173" fontId="6" fillId="34" borderId="12" xfId="0" applyNumberFormat="1" applyFont="1" applyFill="1" applyBorder="1" applyAlignment="1">
      <alignment/>
    </xf>
    <xf numFmtId="173" fontId="6" fillId="34" borderId="13" xfId="0" applyNumberFormat="1" applyFont="1" applyFill="1" applyBorder="1" applyAlignment="1">
      <alignment/>
    </xf>
    <xf numFmtId="0" fontId="6" fillId="0" borderId="12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173" fontId="6" fillId="0" borderId="12" xfId="62" applyFont="1" applyFill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34" borderId="14" xfId="0" applyNumberFormat="1" applyFont="1" applyFill="1" applyBorder="1" applyAlignment="1">
      <alignment/>
    </xf>
    <xf numFmtId="182" fontId="6" fillId="0" borderId="14" xfId="0" applyNumberFormat="1" applyFont="1" applyBorder="1" applyAlignment="1">
      <alignment/>
    </xf>
    <xf numFmtId="182" fontId="63" fillId="0" borderId="12" xfId="54" applyNumberFormat="1" applyFont="1" applyBorder="1" applyAlignment="1">
      <alignment horizontal="center" vertical="top" wrapText="1"/>
      <protection/>
    </xf>
    <xf numFmtId="182" fontId="4" fillId="0" borderId="0" xfId="0" applyNumberFormat="1" applyFont="1" applyAlignment="1">
      <alignment horizontal="center" vertical="top"/>
    </xf>
    <xf numFmtId="182" fontId="6" fillId="0" borderId="10" xfId="62" applyNumberFormat="1" applyFont="1" applyBorder="1" applyAlignment="1">
      <alignment vertical="top" wrapText="1"/>
    </xf>
    <xf numFmtId="182" fontId="6" fillId="0" borderId="15" xfId="62" applyNumberFormat="1" applyFont="1" applyBorder="1" applyAlignment="1">
      <alignment vertical="top" wrapText="1"/>
    </xf>
    <xf numFmtId="182" fontId="6" fillId="0" borderId="19" xfId="62" applyNumberFormat="1" applyFont="1" applyBorder="1" applyAlignment="1">
      <alignment vertical="top" wrapText="1"/>
    </xf>
    <xf numFmtId="182" fontId="6" fillId="0" borderId="18" xfId="62" applyNumberFormat="1" applyFont="1" applyBorder="1" applyAlignment="1">
      <alignment vertical="top" wrapText="1"/>
    </xf>
    <xf numFmtId="182" fontId="6" fillId="0" borderId="12" xfId="62" applyNumberFormat="1" applyFont="1" applyBorder="1" applyAlignment="1">
      <alignment vertical="top" wrapText="1"/>
    </xf>
    <xf numFmtId="182" fontId="6" fillId="0" borderId="13" xfId="62" applyNumberFormat="1" applyFont="1" applyBorder="1" applyAlignment="1">
      <alignment vertical="top" wrapText="1"/>
    </xf>
    <xf numFmtId="182" fontId="6" fillId="0" borderId="14" xfId="62" applyNumberFormat="1" applyFont="1" applyBorder="1" applyAlignment="1">
      <alignment vertical="top" wrapText="1"/>
    </xf>
    <xf numFmtId="182" fontId="6" fillId="0" borderId="0" xfId="62" applyNumberFormat="1" applyFont="1" applyAlignment="1">
      <alignment/>
    </xf>
    <xf numFmtId="0" fontId="21" fillId="0" borderId="12" xfId="0" applyFont="1" applyBorder="1" applyAlignment="1">
      <alignment horizontal="left"/>
    </xf>
    <xf numFmtId="182" fontId="6" fillId="0" borderId="10" xfId="54" applyNumberFormat="1" applyFont="1" applyBorder="1" applyAlignment="1">
      <alignment horizontal="center" wrapText="1"/>
      <protection/>
    </xf>
    <xf numFmtId="182" fontId="6" fillId="0" borderId="10" xfId="62" applyNumberFormat="1" applyFont="1" applyFill="1" applyBorder="1" applyAlignment="1">
      <alignment vertical="top"/>
    </xf>
    <xf numFmtId="0" fontId="6" fillId="0" borderId="21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2" fontId="6" fillId="0" borderId="12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23" xfId="0" applyFont="1" applyBorder="1" applyAlignment="1" quotePrefix="1">
      <alignment horizontal="left"/>
    </xf>
    <xf numFmtId="2" fontId="6" fillId="0" borderId="14" xfId="54" applyNumberFormat="1" applyFont="1" applyFill="1" applyBorder="1" applyAlignment="1">
      <alignment horizontal="center" vertical="top" wrapText="1"/>
      <protection/>
    </xf>
    <xf numFmtId="173" fontId="6" fillId="0" borderId="10" xfId="62" applyFont="1" applyFill="1" applyBorder="1" applyAlignment="1">
      <alignment horizontal="center" vertical="top"/>
    </xf>
    <xf numFmtId="177" fontId="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182" fontId="4" fillId="0" borderId="0" xfId="54" applyNumberFormat="1" applyFont="1" applyBorder="1" applyAlignment="1">
      <alignment horizontal="center" vertical="center" wrapText="1"/>
      <protection/>
    </xf>
    <xf numFmtId="182" fontId="6" fillId="0" borderId="0" xfId="0" applyNumberFormat="1" applyFont="1" applyBorder="1" applyAlignment="1">
      <alignment horizontal="center" wrapText="1"/>
    </xf>
    <xf numFmtId="182" fontId="6" fillId="0" borderId="0" xfId="0" applyNumberFormat="1" applyFont="1" applyFill="1" applyAlignment="1">
      <alignment horizontal="center"/>
    </xf>
    <xf numFmtId="182" fontId="6" fillId="0" borderId="0" xfId="62" applyNumberFormat="1" applyFont="1" applyBorder="1" applyAlignment="1">
      <alignment horizontal="center"/>
    </xf>
    <xf numFmtId="182" fontId="6" fillId="0" borderId="15" xfId="62" applyNumberFormat="1" applyFont="1" applyBorder="1" applyAlignment="1">
      <alignment horizontal="center"/>
    </xf>
    <xf numFmtId="182" fontId="6" fillId="0" borderId="19" xfId="62" applyNumberFormat="1" applyFont="1" applyBorder="1" applyAlignment="1">
      <alignment horizontal="center"/>
    </xf>
    <xf numFmtId="182" fontId="6" fillId="0" borderId="14" xfId="53" applyNumberFormat="1" applyFont="1" applyBorder="1" applyAlignment="1">
      <alignment horizontal="center" wrapText="1"/>
      <protection/>
    </xf>
    <xf numFmtId="182" fontId="6" fillId="0" borderId="0" xfId="53" applyNumberFormat="1" applyFont="1" applyBorder="1" applyAlignment="1">
      <alignment horizontal="center" wrapText="1"/>
      <protection/>
    </xf>
    <xf numFmtId="182" fontId="6" fillId="0" borderId="10" xfId="62" applyNumberFormat="1" applyFont="1" applyBorder="1" applyAlignment="1">
      <alignment horizontal="center" vertical="top" wrapText="1"/>
    </xf>
    <xf numFmtId="182" fontId="6" fillId="0" borderId="10" xfId="54" applyNumberFormat="1" applyFont="1" applyFill="1" applyBorder="1" applyAlignment="1">
      <alignment horizontal="center" wrapText="1"/>
      <protection/>
    </xf>
    <xf numFmtId="182" fontId="6" fillId="0" borderId="0" xfId="54" applyNumberFormat="1" applyFont="1" applyFill="1" applyBorder="1" applyAlignment="1">
      <alignment horizontal="center" wrapText="1"/>
      <protection/>
    </xf>
    <xf numFmtId="182" fontId="6" fillId="0" borderId="12" xfId="62" applyNumberFormat="1" applyFont="1" applyFill="1" applyBorder="1" applyAlignment="1">
      <alignment horizontal="center"/>
    </xf>
    <xf numFmtId="182" fontId="6" fillId="0" borderId="12" xfId="54" applyNumberFormat="1" applyFont="1" applyFill="1" applyBorder="1" applyAlignment="1">
      <alignment horizontal="center" wrapText="1"/>
      <protection/>
    </xf>
    <xf numFmtId="182" fontId="6" fillId="0" borderId="14" xfId="54" applyNumberFormat="1" applyFont="1" applyFill="1" applyBorder="1" applyAlignment="1">
      <alignment horizontal="center" wrapText="1"/>
      <protection/>
    </xf>
    <xf numFmtId="182" fontId="6" fillId="0" borderId="15" xfId="62" applyNumberFormat="1" applyFont="1" applyFill="1" applyBorder="1" applyAlignment="1">
      <alignment horizontal="center"/>
    </xf>
    <xf numFmtId="182" fontId="6" fillId="0" borderId="19" xfId="62" applyNumberFormat="1" applyFont="1" applyFill="1" applyBorder="1" applyAlignment="1">
      <alignment horizontal="center"/>
    </xf>
    <xf numFmtId="182" fontId="6" fillId="0" borderId="13" xfId="54" applyNumberFormat="1" applyFont="1" applyFill="1" applyBorder="1" applyAlignment="1">
      <alignment horizontal="center" wrapText="1"/>
      <protection/>
    </xf>
    <xf numFmtId="182" fontId="6" fillId="0" borderId="18" xfId="62" applyNumberFormat="1" applyFont="1" applyFill="1" applyBorder="1" applyAlignment="1">
      <alignment horizontal="center"/>
    </xf>
    <xf numFmtId="182" fontId="6" fillId="0" borderId="13" xfId="62" applyNumberFormat="1" applyFont="1" applyFill="1" applyBorder="1" applyAlignment="1">
      <alignment horizontal="center"/>
    </xf>
    <xf numFmtId="182" fontId="6" fillId="0" borderId="14" xfId="62" applyNumberFormat="1" applyFont="1" applyFill="1" applyBorder="1" applyAlignment="1">
      <alignment horizontal="center"/>
    </xf>
    <xf numFmtId="182" fontId="6" fillId="0" borderId="10" xfId="53" applyNumberFormat="1" applyFont="1" applyBorder="1" applyAlignment="1">
      <alignment horizontal="center" wrapText="1"/>
      <protection/>
    </xf>
    <xf numFmtId="182" fontId="63" fillId="0" borderId="10" xfId="54" applyNumberFormat="1" applyFont="1" applyBorder="1" applyAlignment="1">
      <alignment horizontal="center" vertical="top" wrapText="1"/>
      <protection/>
    </xf>
    <xf numFmtId="14" fontId="6" fillId="0" borderId="10" xfId="0" applyNumberFormat="1" applyFont="1" applyBorder="1" applyAlignment="1">
      <alignment wrapText="1"/>
    </xf>
    <xf numFmtId="2" fontId="6" fillId="0" borderId="13" xfId="0" applyNumberFormat="1" applyFont="1" applyBorder="1" applyAlignment="1">
      <alignment/>
    </xf>
    <xf numFmtId="2" fontId="21" fillId="0" borderId="10" xfId="0" applyNumberFormat="1" applyFont="1" applyBorder="1" applyAlignment="1" quotePrefix="1">
      <alignment horizontal="left"/>
    </xf>
    <xf numFmtId="0" fontId="21" fillId="0" borderId="12" xfId="0" applyFont="1" applyBorder="1" applyAlignment="1">
      <alignment/>
    </xf>
    <xf numFmtId="182" fontId="6" fillId="0" borderId="14" xfId="62" applyNumberFormat="1" applyFont="1" applyBorder="1" applyAlignment="1">
      <alignment horizontal="center" vertical="top" wrapText="1"/>
    </xf>
    <xf numFmtId="182" fontId="6" fillId="0" borderId="12" xfId="62" applyNumberFormat="1" applyFont="1" applyBorder="1" applyAlignment="1">
      <alignment horizontal="center" vertical="top" wrapText="1"/>
    </xf>
    <xf numFmtId="182" fontId="6" fillId="0" borderId="13" xfId="62" applyNumberFormat="1" applyFont="1" applyBorder="1" applyAlignment="1">
      <alignment horizontal="center" vertical="top" wrapText="1"/>
    </xf>
    <xf numFmtId="182" fontId="6" fillId="0" borderId="14" xfId="62" applyNumberFormat="1" applyFont="1" applyFill="1" applyBorder="1" applyAlignment="1">
      <alignment horizontal="center" vertical="top"/>
    </xf>
    <xf numFmtId="182" fontId="6" fillId="0" borderId="12" xfId="62" applyNumberFormat="1" applyFont="1" applyFill="1" applyBorder="1" applyAlignment="1">
      <alignment horizontal="center" vertical="top"/>
    </xf>
    <xf numFmtId="182" fontId="6" fillId="0" borderId="13" xfId="62" applyNumberFormat="1" applyFont="1" applyFill="1" applyBorder="1" applyAlignment="1">
      <alignment horizontal="center" vertical="top"/>
    </xf>
    <xf numFmtId="182" fontId="6" fillId="0" borderId="0" xfId="0" applyNumberFormat="1" applyFont="1" applyFill="1" applyBorder="1" applyAlignment="1">
      <alignment horizontal="center" vertical="top"/>
    </xf>
    <xf numFmtId="182" fontId="6" fillId="0" borderId="10" xfId="0" applyNumberFormat="1" applyFont="1" applyFill="1" applyBorder="1" applyAlignment="1">
      <alignment horizontal="center" vertical="top"/>
    </xf>
    <xf numFmtId="182" fontId="6" fillId="0" borderId="12" xfId="0" applyNumberFormat="1" applyFont="1" applyFill="1" applyBorder="1" applyAlignment="1">
      <alignment horizontal="center" vertical="top"/>
    </xf>
    <xf numFmtId="182" fontId="6" fillId="0" borderId="14" xfId="0" applyNumberFormat="1" applyFont="1" applyFill="1" applyBorder="1" applyAlignment="1">
      <alignment horizontal="center" vertical="top"/>
    </xf>
    <xf numFmtId="182" fontId="4" fillId="0" borderId="12" xfId="54" applyNumberFormat="1" applyFont="1" applyBorder="1" applyAlignment="1">
      <alignment horizontal="center" vertical="top" wrapText="1"/>
      <protection/>
    </xf>
    <xf numFmtId="182" fontId="4" fillId="0" borderId="15" xfId="54" applyNumberFormat="1" applyFont="1" applyBorder="1" applyAlignment="1">
      <alignment horizontal="center" vertical="top" wrapText="1"/>
      <protection/>
    </xf>
    <xf numFmtId="182" fontId="6" fillId="0" borderId="21" xfId="54" applyNumberFormat="1" applyFont="1" applyBorder="1" applyAlignment="1">
      <alignment horizontal="center" vertical="top" wrapText="1"/>
      <protection/>
    </xf>
    <xf numFmtId="182" fontId="6" fillId="0" borderId="24" xfId="54" applyNumberFormat="1" applyFont="1" applyBorder="1" applyAlignment="1">
      <alignment horizontal="center" vertical="top" wrapText="1"/>
      <protection/>
    </xf>
    <xf numFmtId="182" fontId="6" fillId="0" borderId="22" xfId="54" applyNumberFormat="1" applyFont="1" applyBorder="1" applyAlignment="1">
      <alignment horizontal="center" vertical="top" wrapText="1"/>
      <protection/>
    </xf>
    <xf numFmtId="182" fontId="4" fillId="0" borderId="0" xfId="0" applyNumberFormat="1" applyFont="1" applyFill="1" applyBorder="1" applyAlignment="1">
      <alignment horizontal="center" vertical="top"/>
    </xf>
    <xf numFmtId="182" fontId="4" fillId="0" borderId="0" xfId="0" applyNumberFormat="1" applyFont="1" applyBorder="1" applyAlignment="1">
      <alignment horizontal="center" vertical="top"/>
    </xf>
    <xf numFmtId="182" fontId="6" fillId="0" borderId="23" xfId="54" applyNumberFormat="1" applyFont="1" applyBorder="1" applyAlignment="1">
      <alignment horizontal="center" vertical="top" wrapText="1"/>
      <protection/>
    </xf>
    <xf numFmtId="182" fontId="6" fillId="0" borderId="1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2" fontId="6" fillId="0" borderId="10" xfId="54" applyNumberFormat="1" applyFont="1" applyFill="1" applyBorder="1" applyAlignment="1">
      <alignment wrapText="1"/>
      <protection/>
    </xf>
    <xf numFmtId="2" fontId="6" fillId="0" borderId="10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/>
    </xf>
    <xf numFmtId="2" fontId="21" fillId="0" borderId="12" xfId="54" applyNumberFormat="1" applyFont="1" applyBorder="1" applyAlignment="1" quotePrefix="1">
      <alignment horizontal="center" wrapText="1"/>
      <protection/>
    </xf>
    <xf numFmtId="2" fontId="6" fillId="0" borderId="13" xfId="54" applyNumberFormat="1" applyFont="1" applyBorder="1" applyAlignment="1">
      <alignment horizontal="center" wrapText="1"/>
      <protection/>
    </xf>
    <xf numFmtId="2" fontId="6" fillId="0" borderId="12" xfId="54" applyNumberFormat="1" applyFont="1" applyBorder="1" applyAlignment="1">
      <alignment horizontal="center" wrapText="1"/>
      <protection/>
    </xf>
    <xf numFmtId="49" fontId="6" fillId="0" borderId="14" xfId="0" applyNumberFormat="1" applyFont="1" applyBorder="1" applyAlignment="1">
      <alignment/>
    </xf>
    <xf numFmtId="2" fontId="21" fillId="0" borderId="13" xfId="54" applyNumberFormat="1" applyFont="1" applyBorder="1" applyAlignment="1" quotePrefix="1">
      <alignment horizontal="center" wrapText="1"/>
      <protection/>
    </xf>
    <xf numFmtId="2" fontId="6" fillId="0" borderId="14" xfId="62" applyNumberFormat="1" applyFont="1" applyBorder="1" applyAlignment="1">
      <alignment horizontal="center"/>
    </xf>
    <xf numFmtId="2" fontId="6" fillId="0" borderId="14" xfId="54" applyNumberFormat="1" applyFont="1" applyBorder="1" applyAlignment="1">
      <alignment horizontal="center" wrapText="1"/>
      <protection/>
    </xf>
    <xf numFmtId="2" fontId="21" fillId="0" borderId="10" xfId="54" applyNumberFormat="1" applyFont="1" applyBorder="1" applyAlignment="1" quotePrefix="1">
      <alignment horizontal="center" vertical="top" wrapText="1"/>
      <protection/>
    </xf>
    <xf numFmtId="2" fontId="6" fillId="0" borderId="10" xfId="62" applyNumberFormat="1" applyFont="1" applyBorder="1" applyAlignment="1">
      <alignment horizontal="center" vertical="top"/>
    </xf>
    <xf numFmtId="2" fontId="6" fillId="0" borderId="10" xfId="54" applyNumberFormat="1" applyFont="1" applyBorder="1" applyAlignment="1" quotePrefix="1">
      <alignment horizontal="left" vertical="top" wrapText="1"/>
      <protection/>
    </xf>
    <xf numFmtId="2" fontId="6" fillId="0" borderId="14" xfId="53" applyNumberFormat="1" applyFont="1" applyBorder="1" applyAlignment="1">
      <alignment horizontal="right" vertical="top" wrapText="1"/>
      <protection/>
    </xf>
    <xf numFmtId="182" fontId="6" fillId="0" borderId="10" xfId="62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left" vertical="top" wrapText="1"/>
    </xf>
    <xf numFmtId="2" fontId="6" fillId="0" borderId="18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182" fontId="6" fillId="0" borderId="12" xfId="62" applyNumberFormat="1" applyFont="1" applyBorder="1" applyAlignment="1">
      <alignment horizontal="center" vertical="top"/>
    </xf>
    <xf numFmtId="182" fontId="6" fillId="0" borderId="14" xfId="62" applyNumberFormat="1" applyFont="1" applyBorder="1" applyAlignment="1">
      <alignment horizontal="center" vertical="top"/>
    </xf>
    <xf numFmtId="182" fontId="6" fillId="0" borderId="10" xfId="62" applyNumberFormat="1" applyFont="1" applyBorder="1" applyAlignment="1">
      <alignment horizontal="center" vertical="top"/>
    </xf>
    <xf numFmtId="2" fontId="6" fillId="0" borderId="12" xfId="54" applyNumberFormat="1" applyFont="1" applyBorder="1" applyAlignment="1">
      <alignment horizontal="left" vertical="top" wrapText="1"/>
      <protection/>
    </xf>
    <xf numFmtId="2" fontId="6" fillId="0" borderId="14" xfId="54" applyNumberFormat="1" applyFont="1" applyBorder="1" applyAlignment="1">
      <alignment horizontal="left" vertical="top" wrapText="1"/>
      <protection/>
    </xf>
    <xf numFmtId="182" fontId="6" fillId="0" borderId="10" xfId="54" applyNumberFormat="1" applyFont="1" applyBorder="1" applyAlignment="1">
      <alignment horizontal="center" vertical="top" wrapText="1"/>
      <protection/>
    </xf>
    <xf numFmtId="182" fontId="6" fillId="0" borderId="12" xfId="62" applyNumberFormat="1" applyFont="1" applyBorder="1" applyAlignment="1">
      <alignment horizontal="center"/>
    </xf>
    <xf numFmtId="182" fontId="6" fillId="0" borderId="14" xfId="62" applyNumberFormat="1" applyFont="1" applyBorder="1" applyAlignment="1">
      <alignment horizontal="center"/>
    </xf>
    <xf numFmtId="2" fontId="6" fillId="0" borderId="12" xfId="54" applyNumberFormat="1" applyFont="1" applyBorder="1" applyAlignment="1">
      <alignment horizontal="left" vertical="top" wrapText="1"/>
      <protection/>
    </xf>
    <xf numFmtId="2" fontId="6" fillId="0" borderId="14" xfId="54" applyNumberFormat="1" applyFont="1" applyBorder="1" applyAlignment="1">
      <alignment horizontal="left" vertical="top" wrapText="1"/>
      <protection/>
    </xf>
    <xf numFmtId="49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82" fontId="0" fillId="0" borderId="10" xfId="0" applyNumberFormat="1" applyBorder="1" applyAlignment="1">
      <alignment horizontal="center" vertical="top" wrapText="1"/>
    </xf>
    <xf numFmtId="182" fontId="6" fillId="0" borderId="13" xfId="54" applyNumberFormat="1" applyFont="1" applyFill="1" applyBorder="1" applyAlignment="1">
      <alignment horizontal="center" vertical="top" wrapText="1"/>
      <protection/>
    </xf>
    <xf numFmtId="182" fontId="0" fillId="0" borderId="13" xfId="0" applyNumberFormat="1" applyFill="1" applyBorder="1" applyAlignment="1">
      <alignment horizontal="center" vertical="top" wrapText="1"/>
    </xf>
    <xf numFmtId="2" fontId="6" fillId="0" borderId="13" xfId="54" applyNumberFormat="1" applyFont="1" applyBorder="1" applyAlignment="1">
      <alignment horizontal="right" vertical="top" wrapText="1"/>
      <protection/>
    </xf>
    <xf numFmtId="182" fontId="6" fillId="0" borderId="13" xfId="54" applyNumberFormat="1" applyFont="1" applyBorder="1" applyAlignment="1">
      <alignment horizontal="center" vertical="top" wrapText="1"/>
      <protection/>
    </xf>
    <xf numFmtId="182" fontId="0" fillId="0" borderId="13" xfId="0" applyNumberFormat="1" applyBorder="1" applyAlignment="1">
      <alignment horizontal="center" vertical="top" wrapText="1"/>
    </xf>
    <xf numFmtId="2" fontId="6" fillId="0" borderId="13" xfId="54" applyNumberFormat="1" applyFont="1" applyBorder="1" applyAlignment="1">
      <alignment horizontal="left" vertical="top" wrapText="1"/>
      <protection/>
    </xf>
    <xf numFmtId="2" fontId="6" fillId="0" borderId="12" xfId="54" applyNumberFormat="1" applyFont="1" applyBorder="1" applyAlignment="1">
      <alignment horizontal="left" wrapText="1"/>
      <protection/>
    </xf>
    <xf numFmtId="2" fontId="6" fillId="0" borderId="14" xfId="54" applyNumberFormat="1" applyFont="1" applyBorder="1" applyAlignment="1">
      <alignment horizontal="left" wrapText="1"/>
      <protection/>
    </xf>
    <xf numFmtId="2" fontId="6" fillId="0" borderId="10" xfId="54" applyNumberFormat="1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2" fontId="6" fillId="0" borderId="13" xfId="54" applyNumberFormat="1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182" fontId="6" fillId="0" borderId="12" xfId="54" applyNumberFormat="1" applyFont="1" applyBorder="1" applyAlignment="1">
      <alignment horizontal="center" vertical="top" wrapText="1"/>
      <protection/>
    </xf>
    <xf numFmtId="182" fontId="0" fillId="0" borderId="14" xfId="0" applyNumberFormat="1" applyBorder="1" applyAlignment="1">
      <alignment horizontal="center" vertical="top" wrapText="1"/>
    </xf>
    <xf numFmtId="182" fontId="6" fillId="0" borderId="12" xfId="54" applyNumberFormat="1" applyFont="1" applyFill="1" applyBorder="1" applyAlignment="1">
      <alignment horizontal="center" vertical="top" wrapText="1"/>
      <protection/>
    </xf>
    <xf numFmtId="182" fontId="0" fillId="0" borderId="14" xfId="0" applyNumberFormat="1" applyFill="1" applyBorder="1" applyAlignment="1">
      <alignment horizontal="center" vertical="top" wrapText="1"/>
    </xf>
    <xf numFmtId="2" fontId="6" fillId="0" borderId="0" xfId="54" applyNumberFormat="1" applyFont="1" applyBorder="1" applyAlignment="1">
      <alignment horizontal="right" vertical="top" wrapText="1"/>
      <protection/>
    </xf>
    <xf numFmtId="2" fontId="6" fillId="0" borderId="16" xfId="54" applyNumberFormat="1" applyFont="1" applyBorder="1" applyAlignment="1">
      <alignment horizontal="right" vertical="top" wrapText="1"/>
      <protection/>
    </xf>
    <xf numFmtId="182" fontId="6" fillId="0" borderId="14" xfId="54" applyNumberFormat="1" applyFont="1" applyBorder="1" applyAlignment="1">
      <alignment horizontal="center" vertical="top" wrapText="1"/>
      <protection/>
    </xf>
    <xf numFmtId="2" fontId="6" fillId="0" borderId="14" xfId="54" applyNumberFormat="1" applyFont="1" applyBorder="1" applyAlignment="1">
      <alignment horizontal="right" vertical="top" wrapText="1"/>
      <protection/>
    </xf>
    <xf numFmtId="182" fontId="6" fillId="0" borderId="10" xfId="54" applyNumberFormat="1" applyFont="1" applyFill="1" applyBorder="1" applyAlignment="1">
      <alignment horizontal="center" vertical="top" wrapText="1"/>
      <protection/>
    </xf>
    <xf numFmtId="2" fontId="4" fillId="0" borderId="0" xfId="54" applyNumberFormat="1" applyFont="1" applyFill="1" applyBorder="1" applyAlignment="1">
      <alignment horizontal="left" vertical="top" wrapText="1"/>
      <protection/>
    </xf>
    <xf numFmtId="182" fontId="6" fillId="0" borderId="10" xfId="54" applyNumberFormat="1" applyFont="1" applyBorder="1" applyAlignment="1">
      <alignment horizontal="center" vertical="top" wrapText="1"/>
      <protection/>
    </xf>
    <xf numFmtId="182" fontId="6" fillId="0" borderId="12" xfId="54" applyNumberFormat="1" applyFont="1" applyBorder="1" applyAlignment="1">
      <alignment horizontal="center" vertical="top" wrapText="1"/>
      <protection/>
    </xf>
    <xf numFmtId="182" fontId="6" fillId="0" borderId="14" xfId="54" applyNumberFormat="1" applyFont="1" applyBorder="1" applyAlignment="1">
      <alignment horizontal="center" vertical="top" wrapText="1"/>
      <protection/>
    </xf>
    <xf numFmtId="182" fontId="6" fillId="0" borderId="12" xfId="54" applyNumberFormat="1" applyFont="1" applyBorder="1" applyAlignment="1">
      <alignment horizontal="center" wrapText="1"/>
      <protection/>
    </xf>
    <xf numFmtId="182" fontId="6" fillId="0" borderId="14" xfId="54" applyNumberFormat="1" applyFont="1" applyBorder="1" applyAlignment="1">
      <alignment horizontal="center" wrapText="1"/>
      <protection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33" borderId="13" xfId="0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49" fontId="6" fillId="0" borderId="12" xfId="54" applyNumberFormat="1" applyFont="1" applyBorder="1" applyAlignment="1">
      <alignment horizontal="center" vertical="top" wrapText="1"/>
      <protection/>
    </xf>
    <xf numFmtId="49" fontId="6" fillId="0" borderId="14" xfId="54" applyNumberFormat="1" applyFont="1" applyBorder="1" applyAlignment="1">
      <alignment horizontal="center" vertical="top" wrapText="1"/>
      <protection/>
    </xf>
    <xf numFmtId="49" fontId="6" fillId="0" borderId="23" xfId="54" applyNumberFormat="1" applyFont="1" applyBorder="1" applyAlignment="1">
      <alignment horizontal="left" vertical="top" wrapText="1"/>
      <protection/>
    </xf>
    <xf numFmtId="49" fontId="6" fillId="0" borderId="0" xfId="54" applyNumberFormat="1" applyFont="1" applyBorder="1" applyAlignment="1">
      <alignment horizontal="left" vertical="top" wrapText="1"/>
      <protection/>
    </xf>
    <xf numFmtId="49" fontId="6" fillId="0" borderId="19" xfId="54" applyNumberFormat="1" applyFont="1" applyBorder="1" applyAlignment="1">
      <alignment horizontal="left" vertical="top" wrapText="1"/>
      <protection/>
    </xf>
    <xf numFmtId="0" fontId="9" fillId="0" borderId="2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6" fillId="0" borderId="13" xfId="54" applyNumberFormat="1" applyFont="1" applyBorder="1" applyAlignment="1">
      <alignment horizontal="center" vertical="top" wrapText="1"/>
      <protection/>
    </xf>
    <xf numFmtId="49" fontId="6" fillId="0" borderId="21" xfId="54" applyNumberFormat="1" applyFont="1" applyBorder="1" applyAlignment="1">
      <alignment horizontal="left" vertical="top" wrapText="1"/>
      <protection/>
    </xf>
    <xf numFmtId="49" fontId="6" fillId="0" borderId="20" xfId="54" applyNumberFormat="1" applyFont="1" applyBorder="1" applyAlignment="1">
      <alignment horizontal="left" vertical="top" wrapText="1"/>
      <protection/>
    </xf>
    <xf numFmtId="49" fontId="6" fillId="0" borderId="15" xfId="54" applyNumberFormat="1" applyFont="1" applyBorder="1" applyAlignment="1">
      <alignment horizontal="left" vertical="top" wrapText="1"/>
      <protection/>
    </xf>
    <xf numFmtId="2" fontId="6" fillId="0" borderId="22" xfId="54" applyNumberFormat="1" applyFont="1" applyBorder="1" applyAlignment="1" quotePrefix="1">
      <alignment horizontal="left" vertical="top" wrapText="1"/>
      <protection/>
    </xf>
    <xf numFmtId="2" fontId="6" fillId="0" borderId="17" xfId="54" applyNumberFormat="1" applyFont="1" applyBorder="1" applyAlignment="1" quotePrefix="1">
      <alignment horizontal="left" vertical="top" wrapText="1"/>
      <protection/>
    </xf>
    <xf numFmtId="2" fontId="6" fillId="0" borderId="11" xfId="54" applyNumberFormat="1" applyFont="1" applyBorder="1" applyAlignment="1" quotePrefix="1">
      <alignment horizontal="left" vertical="top" wrapText="1"/>
      <protection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4" fontId="6" fillId="0" borderId="24" xfId="0" applyNumberFormat="1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2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2" fontId="6" fillId="0" borderId="20" xfId="54" applyNumberFormat="1" applyFont="1" applyBorder="1" applyAlignment="1">
      <alignment horizontal="left" vertical="top" wrapText="1"/>
      <protection/>
    </xf>
    <xf numFmtId="0" fontId="4" fillId="0" borderId="22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2" fontId="6" fillId="0" borderId="22" xfId="54" applyNumberFormat="1" applyFont="1" applyBorder="1" applyAlignment="1">
      <alignment horizontal="left" vertical="top" wrapText="1"/>
      <protection/>
    </xf>
    <xf numFmtId="2" fontId="6" fillId="0" borderId="17" xfId="54" applyNumberFormat="1" applyFont="1" applyBorder="1" applyAlignment="1">
      <alignment horizontal="left" vertical="top" wrapText="1"/>
      <protection/>
    </xf>
    <xf numFmtId="2" fontId="6" fillId="0" borderId="11" xfId="54" applyNumberFormat="1" applyFont="1" applyBorder="1" applyAlignment="1">
      <alignment horizontal="left" vertical="top" wrapText="1"/>
      <protection/>
    </xf>
    <xf numFmtId="0" fontId="6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2" fontId="6" fillId="0" borderId="15" xfId="54" applyNumberFormat="1" applyFont="1" applyBorder="1" applyAlignment="1">
      <alignment horizontal="left" vertical="top" wrapText="1"/>
      <protection/>
    </xf>
    <xf numFmtId="2" fontId="6" fillId="0" borderId="18" xfId="54" applyNumberFormat="1" applyFont="1" applyBorder="1" applyAlignment="1">
      <alignment horizontal="left" vertical="top" wrapText="1"/>
      <protection/>
    </xf>
    <xf numFmtId="49" fontId="6" fillId="0" borderId="18" xfId="54" applyNumberFormat="1" applyFont="1" applyBorder="1" applyAlignment="1">
      <alignment horizontal="left" vertical="top" wrapText="1"/>
      <protection/>
    </xf>
    <xf numFmtId="2" fontId="6" fillId="0" borderId="15" xfId="54" applyNumberFormat="1" applyFont="1" applyFill="1" applyBorder="1" applyAlignment="1">
      <alignment horizontal="left" vertical="top" wrapText="1"/>
      <protection/>
    </xf>
    <xf numFmtId="2" fontId="6" fillId="0" borderId="18" xfId="54" applyNumberFormat="1" applyFont="1" applyFill="1" applyBorder="1" applyAlignment="1">
      <alignment horizontal="left" vertical="top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20" xfId="0" applyNumberFormat="1" applyFont="1" applyBorder="1" applyAlignment="1">
      <alignment horizontal="center" wrapText="1"/>
    </xf>
    <xf numFmtId="49" fontId="6" fillId="0" borderId="20" xfId="53" applyNumberFormat="1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risenkoNA\AppData\Local\Microsoft\Windows\INetCache\Content.Outlook\2M26IP8T\&#1055;&#1056;&#1045;&#1049;&#1057;&#1050;&#1059;&#1056;&#1040;&#1053;&#1058;%20&#1103;&#1085;&#1074;&#1072;&#1088;&#1100;%202010%20&#1075;&#1083;.%209,10,11,12%20(&#1090;&#1072;&#1088;&#1080;&#1092;&#1099;%20&#1089;&#1074;&#1076;&#1075;&#1086;%20&#1089;&#1090;&#1072;&#1088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,14"/>
    </sheetNames>
    <sheetDataSet>
      <sheetData sheetId="2">
        <row r="4">
          <cell r="A4" t="str">
            <v>ГАЗОРАСПРЕДЕЛИТЕЛЬНОЙ СИСТЕМЫ</v>
          </cell>
        </row>
        <row r="61">
          <cell r="A61" t="str">
            <v>Глава.2. СОГЛАСОВАНИЕ ПРОЕКТОВ НА СООТВЕТСТВИЕ ВЫДАННЫМ ТЕХНИЧЕСКИМ </v>
          </cell>
        </row>
        <row r="119">
          <cell r="A119" t="str">
            <v>Глава.3. ВЫДАЧА ТЕХНИЧЕСКИХ УСЛОВИЙ И СОГЛАСОВАНИЕ ПРОЕКТОВ УСТРОЙСТВ </v>
          </cell>
        </row>
        <row r="120">
          <cell r="A120" t="str">
            <v>ЭЛЕКТРОХИМИЧЕСКОЙ ЗАЩИТЫ ОТ КОРРОЗИИ ПОДЗЕМНЫХ </v>
          </cell>
        </row>
        <row r="121">
          <cell r="A121" t="str">
            <v>МЕТАЛЛИЧЕСКИХ СООРУЖЕНИЙ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55"/>
  <sheetViews>
    <sheetView tabSelected="1" zoomScaleSheetLayoutView="75" zoomScalePageLayoutView="0" workbookViewId="0" topLeftCell="A4">
      <selection activeCell="B24" sqref="B24"/>
    </sheetView>
  </sheetViews>
  <sheetFormatPr defaultColWidth="9.00390625" defaultRowHeight="12.75"/>
  <sheetData>
    <row r="1" spans="1:12" ht="16.5">
      <c r="A1" s="177" t="s">
        <v>720</v>
      </c>
      <c r="B1" s="177"/>
      <c r="C1" s="177"/>
      <c r="D1" s="177"/>
      <c r="E1" s="177"/>
      <c r="F1" s="178"/>
      <c r="G1" s="178"/>
      <c r="H1" s="178"/>
      <c r="I1" s="179"/>
      <c r="J1" s="180"/>
      <c r="K1" s="162"/>
      <c r="L1" s="162"/>
    </row>
    <row r="2" spans="1:8" ht="12.75">
      <c r="A2" s="169"/>
      <c r="B2" s="169"/>
      <c r="C2" s="169"/>
      <c r="D2" s="169"/>
      <c r="E2" s="169"/>
      <c r="F2" s="169"/>
      <c r="G2" s="169"/>
      <c r="H2" s="169"/>
    </row>
    <row r="3" spans="1:8" ht="12.75">
      <c r="A3" s="169"/>
      <c r="B3" s="169"/>
      <c r="C3" s="169"/>
      <c r="D3" s="169"/>
      <c r="E3" s="169"/>
      <c r="F3" s="169"/>
      <c r="G3" s="169"/>
      <c r="H3" s="169"/>
    </row>
    <row r="4" spans="1:8" ht="12.75">
      <c r="A4" s="169"/>
      <c r="B4" s="169"/>
      <c r="C4" s="169"/>
      <c r="D4" s="169"/>
      <c r="E4" s="169"/>
      <c r="F4" s="169"/>
      <c r="G4" s="169"/>
      <c r="H4" s="169"/>
    </row>
    <row r="5" spans="1:9" ht="15.75">
      <c r="A5" s="3" t="s">
        <v>721</v>
      </c>
      <c r="B5" s="3"/>
      <c r="C5" s="3"/>
      <c r="D5" s="169"/>
      <c r="E5" s="169"/>
      <c r="G5" s="3"/>
      <c r="H5" s="3"/>
      <c r="I5" s="3"/>
    </row>
    <row r="6" spans="1:9" ht="15.75">
      <c r="A6" s="3"/>
      <c r="B6" s="3"/>
      <c r="C6" s="3"/>
      <c r="D6" s="169"/>
      <c r="E6" s="169"/>
      <c r="G6" s="3"/>
      <c r="H6" s="3"/>
      <c r="I6" s="3"/>
    </row>
    <row r="7" spans="1:9" ht="15.75">
      <c r="A7" s="3" t="s">
        <v>2347</v>
      </c>
      <c r="B7" s="3"/>
      <c r="C7" s="3"/>
      <c r="D7" s="169"/>
      <c r="E7" s="169"/>
      <c r="G7" s="3"/>
      <c r="H7" s="3"/>
      <c r="I7" s="3"/>
    </row>
    <row r="8" spans="1:9" ht="15.75">
      <c r="A8" s="3" t="s">
        <v>722</v>
      </c>
      <c r="B8" s="3"/>
      <c r="C8" s="3"/>
      <c r="D8" s="169"/>
      <c r="E8" s="169"/>
      <c r="G8" s="3"/>
      <c r="H8" s="3"/>
      <c r="I8" s="3"/>
    </row>
    <row r="9" spans="1:9" ht="21.75" customHeight="1">
      <c r="A9" s="3" t="s">
        <v>2388</v>
      </c>
      <c r="B9" s="3"/>
      <c r="C9" s="3"/>
      <c r="D9" s="169"/>
      <c r="E9" s="169"/>
      <c r="G9" s="3"/>
      <c r="H9" s="3"/>
      <c r="I9" s="3"/>
    </row>
    <row r="10" spans="1:8" ht="12.75">
      <c r="A10" s="169"/>
      <c r="B10" s="169"/>
      <c r="C10" s="169"/>
      <c r="D10" s="169"/>
      <c r="E10" s="169"/>
      <c r="F10" s="169"/>
      <c r="G10" s="169"/>
      <c r="H10" s="169"/>
    </row>
    <row r="11" spans="1:8" ht="12.75">
      <c r="A11" s="169"/>
      <c r="B11" s="169"/>
      <c r="C11" s="169"/>
      <c r="D11" s="169"/>
      <c r="E11" s="169"/>
      <c r="F11" s="169"/>
      <c r="G11" s="169"/>
      <c r="H11" s="169"/>
    </row>
    <row r="12" spans="1:8" ht="12.75">
      <c r="A12" s="169"/>
      <c r="B12" s="169"/>
      <c r="C12" s="169"/>
      <c r="D12" s="169"/>
      <c r="E12" s="169"/>
      <c r="F12" s="169"/>
      <c r="G12" s="169"/>
      <c r="H12" s="169"/>
    </row>
    <row r="13" spans="1:8" ht="12.75">
      <c r="A13" s="169"/>
      <c r="B13" s="169"/>
      <c r="C13" s="169"/>
      <c r="D13" s="169"/>
      <c r="E13" s="169"/>
      <c r="F13" s="169"/>
      <c r="G13" s="169"/>
      <c r="H13" s="169"/>
    </row>
    <row r="14" spans="1:8" ht="12.75">
      <c r="A14" s="169"/>
      <c r="B14" s="169"/>
      <c r="C14" s="169"/>
      <c r="D14" s="169"/>
      <c r="E14" s="169"/>
      <c r="F14" s="169"/>
      <c r="G14" s="169"/>
      <c r="H14" s="169"/>
    </row>
    <row r="15" spans="1:8" ht="12.75">
      <c r="A15" s="169"/>
      <c r="B15" s="169"/>
      <c r="C15" s="169"/>
      <c r="D15" s="169"/>
      <c r="E15" s="169"/>
      <c r="F15" s="169"/>
      <c r="G15" s="169"/>
      <c r="H15" s="169"/>
    </row>
    <row r="16" spans="1:8" ht="12.75">
      <c r="A16" s="169"/>
      <c r="B16" s="169"/>
      <c r="C16" s="169"/>
      <c r="D16" s="169"/>
      <c r="E16" s="169"/>
      <c r="F16" s="169"/>
      <c r="G16" s="169"/>
      <c r="H16" s="169"/>
    </row>
    <row r="17" spans="1:8" ht="12.75">
      <c r="A17" s="169"/>
      <c r="B17" s="169"/>
      <c r="C17" s="169"/>
      <c r="D17" s="169"/>
      <c r="E17" s="169"/>
      <c r="F17" s="169"/>
      <c r="G17" s="169"/>
      <c r="H17" s="169"/>
    </row>
    <row r="18" spans="1:8" ht="12.75">
      <c r="A18" s="169"/>
      <c r="B18" s="169"/>
      <c r="C18" s="169"/>
      <c r="D18" s="169"/>
      <c r="E18" s="169"/>
      <c r="F18" s="169"/>
      <c r="G18" s="169"/>
      <c r="H18" s="169"/>
    </row>
    <row r="19" spans="1:8" ht="12.75">
      <c r="A19" s="169"/>
      <c r="B19" s="169"/>
      <c r="C19" s="169"/>
      <c r="D19" s="169"/>
      <c r="E19" s="169"/>
      <c r="F19" s="169"/>
      <c r="G19" s="169"/>
      <c r="H19" s="169"/>
    </row>
    <row r="20" spans="1:8" ht="12.75">
      <c r="A20" s="169"/>
      <c r="B20" s="169"/>
      <c r="C20" s="169"/>
      <c r="D20" s="169"/>
      <c r="E20" s="169"/>
      <c r="F20" s="169"/>
      <c r="G20" s="169"/>
      <c r="H20" s="169"/>
    </row>
    <row r="21" spans="1:8" ht="20.25">
      <c r="A21" s="169"/>
      <c r="B21" s="170"/>
      <c r="C21" s="601" t="s">
        <v>723</v>
      </c>
      <c r="D21" s="601"/>
      <c r="E21" s="601"/>
      <c r="F21" s="601"/>
      <c r="G21" s="601"/>
      <c r="H21" s="170"/>
    </row>
    <row r="22" spans="1:8" ht="18.75">
      <c r="A22" s="169"/>
      <c r="B22" s="170"/>
      <c r="C22" s="602" t="s">
        <v>2348</v>
      </c>
      <c r="D22" s="602"/>
      <c r="E22" s="602"/>
      <c r="F22" s="602"/>
      <c r="G22" s="602"/>
      <c r="H22" s="170"/>
    </row>
    <row r="23" spans="1:9" ht="20.25">
      <c r="A23" s="181" t="s">
        <v>430</v>
      </c>
      <c r="B23" s="181"/>
      <c r="C23" s="181"/>
      <c r="D23" s="181"/>
      <c r="E23" s="181"/>
      <c r="F23" s="181"/>
      <c r="G23" s="181"/>
      <c r="H23" s="182"/>
      <c r="I23" s="182"/>
    </row>
    <row r="24" spans="1:9" ht="20.25">
      <c r="A24" s="183"/>
      <c r="B24" s="181" t="s">
        <v>431</v>
      </c>
      <c r="C24" s="183"/>
      <c r="D24" s="183"/>
      <c r="E24" s="183"/>
      <c r="F24" s="183"/>
      <c r="G24" s="183"/>
      <c r="H24" s="182"/>
      <c r="I24" s="182"/>
    </row>
    <row r="25" spans="1:8" ht="12.75">
      <c r="A25" s="169"/>
      <c r="B25" s="169"/>
      <c r="C25" s="169"/>
      <c r="D25" s="169"/>
      <c r="E25" s="169"/>
      <c r="F25" s="169"/>
      <c r="G25" s="169"/>
      <c r="H25" s="169"/>
    </row>
    <row r="26" spans="1:8" ht="12.75">
      <c r="A26" s="169"/>
      <c r="B26" s="169"/>
      <c r="C26" s="169"/>
      <c r="D26" s="169"/>
      <c r="E26" s="169"/>
      <c r="F26" s="169"/>
      <c r="G26" s="169"/>
      <c r="H26" s="169"/>
    </row>
    <row r="27" spans="1:8" ht="12.75">
      <c r="A27" s="169"/>
      <c r="B27" s="169"/>
      <c r="C27" s="169"/>
      <c r="D27" s="169"/>
      <c r="E27" s="169"/>
      <c r="F27" s="169"/>
      <c r="G27" s="169"/>
      <c r="H27" s="169"/>
    </row>
    <row r="28" spans="1:8" ht="15.75">
      <c r="A28" s="169"/>
      <c r="B28" s="169"/>
      <c r="C28" s="169"/>
      <c r="D28" s="169"/>
      <c r="E28" s="169"/>
      <c r="F28" s="176" t="s">
        <v>2503</v>
      </c>
      <c r="G28" s="3"/>
      <c r="H28" s="3"/>
    </row>
    <row r="29" spans="1:8" ht="12.75">
      <c r="A29" s="169"/>
      <c r="B29" s="169"/>
      <c r="C29" s="169"/>
      <c r="D29" s="169"/>
      <c r="E29" s="169"/>
      <c r="F29" s="169"/>
      <c r="G29" s="169"/>
      <c r="H29" s="169"/>
    </row>
    <row r="30" spans="1:8" ht="12.75">
      <c r="A30" s="169"/>
      <c r="B30" s="169"/>
      <c r="C30" s="169"/>
      <c r="D30" s="169"/>
      <c r="E30" s="169"/>
      <c r="F30" s="169"/>
      <c r="G30" s="169"/>
      <c r="H30" s="169"/>
    </row>
    <row r="31" spans="1:8" ht="12.75">
      <c r="A31" s="169"/>
      <c r="B31" s="169"/>
      <c r="C31" s="169"/>
      <c r="D31" s="169"/>
      <c r="E31" s="169"/>
      <c r="F31" s="169"/>
      <c r="G31" s="169"/>
      <c r="H31" s="169"/>
    </row>
    <row r="32" spans="1:8" ht="12.75">
      <c r="A32" s="169"/>
      <c r="B32" s="169"/>
      <c r="C32" s="169"/>
      <c r="D32" s="169"/>
      <c r="E32" s="169"/>
      <c r="F32" s="169"/>
      <c r="G32" s="169"/>
      <c r="H32" s="169"/>
    </row>
    <row r="33" spans="1:8" ht="12.75">
      <c r="A33" s="169"/>
      <c r="B33" s="169"/>
      <c r="C33" s="169"/>
      <c r="D33" s="169"/>
      <c r="E33" s="169"/>
      <c r="F33" s="169"/>
      <c r="G33" s="169"/>
      <c r="H33" s="169"/>
    </row>
    <row r="34" spans="1:8" ht="12.75">
      <c r="A34" s="169"/>
      <c r="B34" s="169"/>
      <c r="C34" s="169"/>
      <c r="D34" s="169"/>
      <c r="E34" s="169"/>
      <c r="F34" s="169"/>
      <c r="G34" s="169"/>
      <c r="H34" s="169"/>
    </row>
    <row r="35" spans="1:8" ht="12.75">
      <c r="A35" s="169"/>
      <c r="B35" s="169"/>
      <c r="C35" s="169"/>
      <c r="D35" s="169"/>
      <c r="E35" s="169"/>
      <c r="F35" s="169"/>
      <c r="G35" s="169"/>
      <c r="H35" s="169"/>
    </row>
    <row r="36" spans="1:8" ht="12.75">
      <c r="A36" s="169"/>
      <c r="B36" s="169"/>
      <c r="C36" s="169"/>
      <c r="D36" s="169"/>
      <c r="E36" s="169"/>
      <c r="F36" s="169"/>
      <c r="G36" s="169"/>
      <c r="H36" s="169"/>
    </row>
    <row r="37" spans="1:8" ht="12.75">
      <c r="A37" s="169"/>
      <c r="B37" s="169"/>
      <c r="C37" s="169"/>
      <c r="D37" s="169"/>
      <c r="E37" s="169"/>
      <c r="F37" s="169"/>
      <c r="G37" s="169"/>
      <c r="H37" s="169"/>
    </row>
    <row r="38" spans="1:8" ht="12.75">
      <c r="A38" s="169"/>
      <c r="B38" s="169"/>
      <c r="C38" s="169"/>
      <c r="D38" s="169"/>
      <c r="E38" s="169"/>
      <c r="F38" s="169"/>
      <c r="G38" s="169"/>
      <c r="H38" s="169"/>
    </row>
    <row r="39" spans="1:8" ht="12.75">
      <c r="A39" s="169"/>
      <c r="B39" s="169"/>
      <c r="C39" s="169"/>
      <c r="D39" s="169"/>
      <c r="E39" s="169"/>
      <c r="F39" s="169"/>
      <c r="G39" s="169"/>
      <c r="H39" s="169"/>
    </row>
    <row r="40" spans="1:8" ht="12.75">
      <c r="A40" s="169"/>
      <c r="B40" s="169"/>
      <c r="C40" s="169"/>
      <c r="D40" s="169"/>
      <c r="E40" s="169"/>
      <c r="F40" s="169"/>
      <c r="G40" s="169"/>
      <c r="H40" s="169"/>
    </row>
    <row r="41" spans="1:8" ht="12.75">
      <c r="A41" s="169"/>
      <c r="B41" s="169"/>
      <c r="C41" s="169"/>
      <c r="D41" s="169"/>
      <c r="E41" s="169"/>
      <c r="F41" s="169"/>
      <c r="G41" s="169"/>
      <c r="H41" s="169"/>
    </row>
    <row r="42" spans="1:8" ht="12.75">
      <c r="A42" s="169"/>
      <c r="B42" s="169"/>
      <c r="C42" s="169"/>
      <c r="D42" s="169"/>
      <c r="E42" s="169"/>
      <c r="F42" s="169"/>
      <c r="G42" s="169"/>
      <c r="H42" s="169"/>
    </row>
    <row r="43" spans="1:8" ht="12.75">
      <c r="A43" s="169"/>
      <c r="B43" s="169"/>
      <c r="C43" s="169"/>
      <c r="D43" s="169"/>
      <c r="E43" s="169"/>
      <c r="F43" s="169"/>
      <c r="G43" s="169"/>
      <c r="H43" s="169"/>
    </row>
    <row r="44" spans="1:8" ht="12.75">
      <c r="A44" s="169"/>
      <c r="B44" s="169"/>
      <c r="C44" s="169"/>
      <c r="D44" s="169"/>
      <c r="E44" s="169"/>
      <c r="F44" s="169"/>
      <c r="G44" s="169"/>
      <c r="H44" s="169"/>
    </row>
    <row r="45" spans="1:8" ht="12.75">
      <c r="A45" s="169"/>
      <c r="B45" s="169"/>
      <c r="C45" s="169"/>
      <c r="D45" s="169"/>
      <c r="E45" s="169"/>
      <c r="F45" s="169"/>
      <c r="G45" s="169"/>
      <c r="H45" s="169"/>
    </row>
    <row r="46" spans="1:8" ht="12.75">
      <c r="A46" s="169"/>
      <c r="B46" s="169"/>
      <c r="C46" s="169"/>
      <c r="D46" s="169"/>
      <c r="E46" s="169"/>
      <c r="F46" s="169"/>
      <c r="G46" s="169"/>
      <c r="H46" s="169"/>
    </row>
    <row r="47" spans="1:8" ht="12.75">
      <c r="A47" s="169"/>
      <c r="B47" s="169"/>
      <c r="C47" s="169"/>
      <c r="D47" s="169"/>
      <c r="E47" s="169"/>
      <c r="F47" s="169"/>
      <c r="G47" s="169"/>
      <c r="H47" s="169"/>
    </row>
    <row r="48" spans="1:8" ht="12.75">
      <c r="A48" s="169"/>
      <c r="B48" s="169"/>
      <c r="C48" s="169"/>
      <c r="D48" s="169"/>
      <c r="E48" s="169"/>
      <c r="F48" s="169"/>
      <c r="G48" s="169"/>
      <c r="H48" s="169"/>
    </row>
    <row r="49" spans="1:8" ht="12.75">
      <c r="A49" s="169"/>
      <c r="B49" s="169"/>
      <c r="C49" s="169"/>
      <c r="D49" s="169"/>
      <c r="E49" s="169"/>
      <c r="F49" s="169"/>
      <c r="G49" s="169"/>
      <c r="H49" s="169"/>
    </row>
    <row r="50" spans="1:8" ht="12.75">
      <c r="A50" s="169"/>
      <c r="B50" s="169"/>
      <c r="C50" s="169"/>
      <c r="D50" s="169"/>
      <c r="E50" s="169"/>
      <c r="F50" s="169"/>
      <c r="G50" s="169"/>
      <c r="H50" s="169"/>
    </row>
    <row r="51" spans="1:8" ht="18.75">
      <c r="A51" s="169"/>
      <c r="B51" s="169"/>
      <c r="C51" s="169"/>
      <c r="D51" s="281" t="s">
        <v>2366</v>
      </c>
      <c r="E51" s="170"/>
      <c r="F51" s="170"/>
      <c r="G51" s="169"/>
      <c r="H51" s="169"/>
    </row>
    <row r="52" spans="1:8" ht="15.75">
      <c r="A52" s="169"/>
      <c r="B52" s="169"/>
      <c r="C52" s="3"/>
      <c r="G52" s="169"/>
      <c r="H52" s="169"/>
    </row>
    <row r="53" spans="1:8" ht="12.75">
      <c r="A53" s="169"/>
      <c r="B53" s="169"/>
      <c r="C53" s="169"/>
      <c r="D53" s="169"/>
      <c r="E53" s="169"/>
      <c r="F53" s="169"/>
      <c r="G53" s="169"/>
      <c r="H53" s="169"/>
    </row>
    <row r="54" spans="1:8" ht="12.75">
      <c r="A54" s="169"/>
      <c r="B54" s="169"/>
      <c r="C54" s="169"/>
      <c r="D54" s="169"/>
      <c r="E54" s="169"/>
      <c r="F54" s="169"/>
      <c r="G54" s="169"/>
      <c r="H54" s="169"/>
    </row>
    <row r="55" spans="1:8" ht="12.75">
      <c r="A55" s="169"/>
      <c r="B55" s="169"/>
      <c r="F55" s="169"/>
      <c r="G55" s="169"/>
      <c r="H55" s="169"/>
    </row>
  </sheetData>
  <sheetProtection/>
  <mergeCells count="2">
    <mergeCell ref="C21:G21"/>
    <mergeCell ref="C22:G22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8"/>
  <sheetViews>
    <sheetView view="pageBreakPreview" zoomScale="110" zoomScaleSheetLayoutView="110" zoomScalePageLayoutView="0" workbookViewId="0" topLeftCell="A1">
      <pane xSplit="1" ySplit="6" topLeftCell="B11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B109" sqref="B109"/>
    </sheetView>
  </sheetViews>
  <sheetFormatPr defaultColWidth="9.00390625" defaultRowHeight="12.75"/>
  <cols>
    <col min="1" max="1" width="8.25390625" style="3" customWidth="1"/>
    <col min="2" max="2" width="75.125" style="3" customWidth="1"/>
    <col min="3" max="3" width="11.875" style="3" customWidth="1"/>
    <col min="4" max="6" width="11.875" style="3" hidden="1" customWidth="1"/>
    <col min="7" max="7" width="15.375" style="3" hidden="1" customWidth="1"/>
    <col min="8" max="8" width="14.625" style="3" hidden="1" customWidth="1"/>
    <col min="9" max="9" width="13.875" style="3" bestFit="1" customWidth="1"/>
    <col min="10" max="10" width="13.125" style="3" customWidth="1"/>
    <col min="11" max="11" width="14.25390625" style="473" hidden="1" customWidth="1"/>
    <col min="12" max="12" width="11.375" style="473" hidden="1" customWidth="1"/>
    <col min="13" max="16384" width="9.125" style="3" customWidth="1"/>
  </cols>
  <sheetData>
    <row r="1" spans="1:10" ht="15.75">
      <c r="A1" s="604" t="s">
        <v>324</v>
      </c>
      <c r="B1" s="604"/>
      <c r="C1" s="604"/>
      <c r="D1" s="604"/>
      <c r="E1" s="604"/>
      <c r="F1" s="604"/>
      <c r="G1" s="604"/>
      <c r="H1" s="604"/>
      <c r="I1" s="604"/>
      <c r="J1" s="604"/>
    </row>
    <row r="3" spans="1:10" ht="15.75">
      <c r="A3" s="604" t="s">
        <v>325</v>
      </c>
      <c r="B3" s="604"/>
      <c r="C3" s="604"/>
      <c r="D3" s="604"/>
      <c r="E3" s="604"/>
      <c r="F3" s="604"/>
      <c r="G3" s="604"/>
      <c r="H3" s="604"/>
      <c r="I3" s="604"/>
      <c r="J3" s="604"/>
    </row>
    <row r="4" spans="1:10" ht="15.75">
      <c r="A4" s="604" t="s">
        <v>326</v>
      </c>
      <c r="B4" s="604"/>
      <c r="C4" s="604"/>
      <c r="D4" s="604"/>
      <c r="E4" s="604"/>
      <c r="F4" s="604"/>
      <c r="G4" s="604"/>
      <c r="H4" s="604"/>
      <c r="I4" s="604"/>
      <c r="J4" s="604"/>
    </row>
    <row r="6" spans="1:12" ht="63">
      <c r="A6" s="459" t="s">
        <v>83</v>
      </c>
      <c r="B6" s="371" t="s">
        <v>82</v>
      </c>
      <c r="C6" s="371" t="s">
        <v>77</v>
      </c>
      <c r="D6" s="371" t="s">
        <v>81</v>
      </c>
      <c r="E6" s="372" t="s">
        <v>85</v>
      </c>
      <c r="F6" s="372" t="s">
        <v>78</v>
      </c>
      <c r="G6" s="372" t="s">
        <v>79</v>
      </c>
      <c r="H6" s="372" t="s">
        <v>80</v>
      </c>
      <c r="I6" s="371" t="s">
        <v>843</v>
      </c>
      <c r="J6" s="371" t="s">
        <v>2349</v>
      </c>
      <c r="K6" s="508" t="s">
        <v>2386</v>
      </c>
      <c r="L6" s="468" t="s">
        <v>2385</v>
      </c>
    </row>
    <row r="7" spans="1:12" ht="47.25">
      <c r="A7" s="73" t="s">
        <v>404</v>
      </c>
      <c r="B7" s="175" t="s">
        <v>2467</v>
      </c>
      <c r="C7" s="74" t="s">
        <v>813</v>
      </c>
      <c r="D7" s="463" t="s">
        <v>2314</v>
      </c>
      <c r="E7" s="34">
        <f>'Тарифные ставки'!$B$5</f>
        <v>137.4825</v>
      </c>
      <c r="F7" s="34">
        <v>0.32</v>
      </c>
      <c r="G7" s="34">
        <f>E7*F7</f>
        <v>43.9944</v>
      </c>
      <c r="H7" s="34">
        <f>G7*'Тарифные ставки'!$B$13</f>
        <v>113.505552</v>
      </c>
      <c r="I7" s="34">
        <f>H7*'Тарифные ставки'!$B$14*'Тарифные ставки'!$B$15</f>
        <v>137.568729024</v>
      </c>
      <c r="J7" s="398">
        <f>I7-I7/'Тарифные ставки'!$B$15</f>
        <v>22.92812150399999</v>
      </c>
      <c r="K7" s="527">
        <v>128.59474799999998</v>
      </c>
      <c r="L7" s="491">
        <f>I7/K7*100-100</f>
        <v>6.978497305348739</v>
      </c>
    </row>
    <row r="8" spans="1:12" ht="15.75">
      <c r="A8" s="71" t="s">
        <v>405</v>
      </c>
      <c r="B8" s="608" t="s">
        <v>406</v>
      </c>
      <c r="C8" s="72" t="s">
        <v>813</v>
      </c>
      <c r="D8" s="521" t="s">
        <v>2314</v>
      </c>
      <c r="E8" s="29">
        <f>'Тарифные ставки'!$B$5</f>
        <v>137.4825</v>
      </c>
      <c r="F8" s="199">
        <v>0.72</v>
      </c>
      <c r="G8" s="29">
        <f aca="true" t="shared" si="0" ref="G8:G42">E8*F8</f>
        <v>98.9874</v>
      </c>
      <c r="H8" s="29">
        <f>(G8+G9)*'Тарифные ставки'!$B$13</f>
        <v>510.77498399999996</v>
      </c>
      <c r="I8" s="29">
        <f>H8*'Тарифные ставки'!$B$14*'Тарифные ставки'!$B$15</f>
        <v>619.059280608</v>
      </c>
      <c r="J8" s="400">
        <f>I8-I8/'Тарифные ставки'!$B$15</f>
        <v>103.17654676799998</v>
      </c>
      <c r="K8" s="524">
        <v>578.6763659999999</v>
      </c>
      <c r="L8" s="450">
        <f>I8/K8*100-100</f>
        <v>6.9784973053487676</v>
      </c>
    </row>
    <row r="9" spans="1:12" ht="15.75">
      <c r="A9" s="69"/>
      <c r="B9" s="609"/>
      <c r="C9" s="70"/>
      <c r="D9" s="522" t="s">
        <v>2314</v>
      </c>
      <c r="E9" s="28">
        <f>'Тарифные ставки'!$B$5</f>
        <v>137.4825</v>
      </c>
      <c r="F9" s="200">
        <v>0.72</v>
      </c>
      <c r="G9" s="28">
        <f t="shared" si="0"/>
        <v>98.9874</v>
      </c>
      <c r="H9" s="28"/>
      <c r="I9" s="28"/>
      <c r="J9" s="28"/>
      <c r="K9" s="526"/>
      <c r="L9" s="340"/>
    </row>
    <row r="10" spans="1:12" ht="15.75">
      <c r="A10" s="71" t="s">
        <v>407</v>
      </c>
      <c r="B10" s="608" t="s">
        <v>408</v>
      </c>
      <c r="C10" s="72" t="s">
        <v>813</v>
      </c>
      <c r="D10" s="521" t="s">
        <v>2314</v>
      </c>
      <c r="E10" s="29">
        <f>'Тарифные ставки'!$B$5</f>
        <v>137.4825</v>
      </c>
      <c r="F10" s="199">
        <v>0.82</v>
      </c>
      <c r="G10" s="29">
        <f t="shared" si="0"/>
        <v>112.73564999999998</v>
      </c>
      <c r="H10" s="29">
        <f>(G10+G11)*'Тарифные ставки'!$B$13</f>
        <v>581.7159539999999</v>
      </c>
      <c r="I10" s="29">
        <f>H10*'Тарифные ставки'!$B$14*'Тарифные ставки'!$B$15</f>
        <v>705.0397362479999</v>
      </c>
      <c r="J10" s="400">
        <f>I10-I10/'Тарифные ставки'!$B$15</f>
        <v>117.50662270800001</v>
      </c>
      <c r="K10" s="524">
        <v>659.0480835</v>
      </c>
      <c r="L10" s="450">
        <f>I10/K10*100-100</f>
        <v>6.978497305348739</v>
      </c>
    </row>
    <row r="11" spans="1:12" ht="15.75">
      <c r="A11" s="69"/>
      <c r="B11" s="609"/>
      <c r="C11" s="70"/>
      <c r="D11" s="522" t="s">
        <v>2314</v>
      </c>
      <c r="E11" s="28">
        <f>'Тарифные ставки'!$B$5</f>
        <v>137.4825</v>
      </c>
      <c r="F11" s="200">
        <v>0.82</v>
      </c>
      <c r="G11" s="28">
        <f t="shared" si="0"/>
        <v>112.73564999999998</v>
      </c>
      <c r="H11" s="28"/>
      <c r="I11" s="28"/>
      <c r="J11" s="28"/>
      <c r="K11" s="526"/>
      <c r="L11" s="340"/>
    </row>
    <row r="12" spans="1:12" ht="15.75" hidden="1">
      <c r="A12" s="67" t="s">
        <v>409</v>
      </c>
      <c r="B12" s="634" t="s">
        <v>410</v>
      </c>
      <c r="C12" s="68" t="s">
        <v>813</v>
      </c>
      <c r="D12" s="528" t="s">
        <v>2314</v>
      </c>
      <c r="E12" s="16">
        <v>78.97</v>
      </c>
      <c r="F12" s="197">
        <v>0.98</v>
      </c>
      <c r="G12" s="16">
        <f t="shared" si="0"/>
        <v>77.39059999999999</v>
      </c>
      <c r="H12" s="16">
        <f>(G12+G13)*'Тарифные ставки'!$B$13</f>
        <v>399.335496</v>
      </c>
      <c r="I12" s="16">
        <f>H12*'Тарифные ставки'!$B$14*'Тарифные ставки'!$B$15</f>
        <v>483.9946211519999</v>
      </c>
      <c r="J12" s="16"/>
      <c r="K12" s="525">
        <v>787.6428314999999</v>
      </c>
      <c r="L12" s="451"/>
    </row>
    <row r="13" spans="1:12" ht="15.75" hidden="1">
      <c r="A13" s="69"/>
      <c r="B13" s="609"/>
      <c r="C13" s="70"/>
      <c r="D13" s="522" t="s">
        <v>2314</v>
      </c>
      <c r="E13" s="28">
        <v>78.97</v>
      </c>
      <c r="F13" s="200">
        <v>0.98</v>
      </c>
      <c r="G13" s="28">
        <f t="shared" si="0"/>
        <v>77.39059999999999</v>
      </c>
      <c r="H13" s="28"/>
      <c r="I13" s="28"/>
      <c r="J13" s="28"/>
      <c r="K13" s="525"/>
      <c r="L13" s="451"/>
    </row>
    <row r="14" spans="1:12" ht="15.75" hidden="1">
      <c r="A14" s="71" t="s">
        <v>411</v>
      </c>
      <c r="B14" s="608" t="s">
        <v>412</v>
      </c>
      <c r="C14" s="72" t="s">
        <v>813</v>
      </c>
      <c r="D14" s="521" t="s">
        <v>2314</v>
      </c>
      <c r="E14" s="29">
        <v>78.97</v>
      </c>
      <c r="F14" s="199">
        <v>1.08</v>
      </c>
      <c r="G14" s="29">
        <f t="shared" si="0"/>
        <v>85.2876</v>
      </c>
      <c r="H14" s="29">
        <f>(G14+G15)*'Тарифные ставки'!$B$13</f>
        <v>440.084016</v>
      </c>
      <c r="I14" s="29">
        <f>H14*'Тарифные ставки'!$B$14*'Тарифные ставки'!$B$15</f>
        <v>533.381827392</v>
      </c>
      <c r="J14" s="29"/>
      <c r="K14" s="525">
        <v>868.0145490000001</v>
      </c>
      <c r="L14" s="451"/>
    </row>
    <row r="15" spans="1:12" ht="15.75" hidden="1">
      <c r="A15" s="69"/>
      <c r="B15" s="609"/>
      <c r="C15" s="70"/>
      <c r="D15" s="522" t="s">
        <v>2314</v>
      </c>
      <c r="E15" s="28">
        <v>78.97</v>
      </c>
      <c r="F15" s="200">
        <v>1.08</v>
      </c>
      <c r="G15" s="28">
        <f t="shared" si="0"/>
        <v>85.2876</v>
      </c>
      <c r="H15" s="28"/>
      <c r="I15" s="28"/>
      <c r="J15" s="28"/>
      <c r="K15" s="525"/>
      <c r="L15" s="451"/>
    </row>
    <row r="16" spans="1:12" ht="15.75" hidden="1">
      <c r="A16" s="71" t="s">
        <v>413</v>
      </c>
      <c r="B16" s="608" t="s">
        <v>414</v>
      </c>
      <c r="C16" s="72" t="s">
        <v>813</v>
      </c>
      <c r="D16" s="521" t="s">
        <v>2314</v>
      </c>
      <c r="E16" s="29">
        <v>78.97</v>
      </c>
      <c r="F16" s="199">
        <v>1.25</v>
      </c>
      <c r="G16" s="29">
        <f t="shared" si="0"/>
        <v>98.7125</v>
      </c>
      <c r="H16" s="29">
        <f>(G16+G17)*'Тарифные ставки'!$B$13</f>
        <v>509.35650000000004</v>
      </c>
      <c r="I16" s="29">
        <f>H16*'Тарифные ставки'!$B$14*'Тарифные ставки'!$B$15</f>
        <v>617.340078</v>
      </c>
      <c r="J16" s="29"/>
      <c r="K16" s="525">
        <v>1004.64646875</v>
      </c>
      <c r="L16" s="451"/>
    </row>
    <row r="17" spans="1:12" ht="15.75" hidden="1">
      <c r="A17" s="69"/>
      <c r="B17" s="609"/>
      <c r="C17" s="70"/>
      <c r="D17" s="522" t="s">
        <v>2314</v>
      </c>
      <c r="E17" s="28">
        <v>78.97</v>
      </c>
      <c r="F17" s="200">
        <v>1.25</v>
      </c>
      <c r="G17" s="28">
        <f t="shared" si="0"/>
        <v>98.7125</v>
      </c>
      <c r="H17" s="28"/>
      <c r="I17" s="28"/>
      <c r="J17" s="28"/>
      <c r="K17" s="525"/>
      <c r="L17" s="451"/>
    </row>
    <row r="18" spans="1:12" ht="15.75" hidden="1">
      <c r="A18" s="71" t="s">
        <v>415</v>
      </c>
      <c r="B18" s="608" t="s">
        <v>1640</v>
      </c>
      <c r="C18" s="72" t="s">
        <v>1641</v>
      </c>
      <c r="D18" s="521" t="s">
        <v>2314</v>
      </c>
      <c r="E18" s="29">
        <v>78.97</v>
      </c>
      <c r="F18" s="199">
        <v>0.34</v>
      </c>
      <c r="G18" s="29">
        <f t="shared" si="0"/>
        <v>26.849800000000002</v>
      </c>
      <c r="H18" s="29">
        <f>(G18+G19)*'Тарифные ставки'!$B$13</f>
        <v>140.582394</v>
      </c>
      <c r="I18" s="29">
        <f>H18*'Тарифные ставки'!$B$14*'Тарифные ставки'!$B$15</f>
        <v>170.385861528</v>
      </c>
      <c r="J18" s="29"/>
      <c r="K18" s="525">
        <v>277.282425375</v>
      </c>
      <c r="L18" s="451"/>
    </row>
    <row r="19" spans="1:12" ht="30.75" customHeight="1" hidden="1">
      <c r="A19" s="69"/>
      <c r="B19" s="609"/>
      <c r="C19" s="70" t="s">
        <v>1642</v>
      </c>
      <c r="D19" s="522" t="s">
        <v>2314</v>
      </c>
      <c r="E19" s="28">
        <v>78.97</v>
      </c>
      <c r="F19" s="200">
        <v>0.35</v>
      </c>
      <c r="G19" s="28">
        <f t="shared" si="0"/>
        <v>27.639499999999998</v>
      </c>
      <c r="H19" s="28"/>
      <c r="I19" s="28"/>
      <c r="J19" s="28"/>
      <c r="K19" s="525"/>
      <c r="L19" s="451"/>
    </row>
    <row r="20" spans="1:12" ht="15.75" hidden="1">
      <c r="A20" s="71" t="s">
        <v>1643</v>
      </c>
      <c r="B20" s="608" t="s">
        <v>1644</v>
      </c>
      <c r="C20" s="72" t="s">
        <v>1812</v>
      </c>
      <c r="D20" s="521" t="s">
        <v>2314</v>
      </c>
      <c r="E20" s="29">
        <v>78.97</v>
      </c>
      <c r="F20" s="199">
        <v>0.03</v>
      </c>
      <c r="G20" s="29">
        <f t="shared" si="0"/>
        <v>2.3691</v>
      </c>
      <c r="H20" s="29">
        <f>(G20+G21)*'Тарифные ставки'!$B$13</f>
        <v>12.224556</v>
      </c>
      <c r="I20" s="29">
        <f>H20*'Тарифные ставки'!$B$14*'Тарифные ставки'!$B$15</f>
        <v>14.816161871999999</v>
      </c>
      <c r="J20" s="29"/>
      <c r="K20" s="525">
        <v>24.11151525</v>
      </c>
      <c r="L20" s="451"/>
    </row>
    <row r="21" spans="1:12" ht="15.75" hidden="1">
      <c r="A21" s="69"/>
      <c r="B21" s="609"/>
      <c r="C21" s="70"/>
      <c r="D21" s="522" t="s">
        <v>2314</v>
      </c>
      <c r="E21" s="28">
        <v>78.97</v>
      </c>
      <c r="F21" s="200">
        <v>0.03</v>
      </c>
      <c r="G21" s="28">
        <f t="shared" si="0"/>
        <v>2.3691</v>
      </c>
      <c r="H21" s="28"/>
      <c r="I21" s="28"/>
      <c r="J21" s="28"/>
      <c r="K21" s="525"/>
      <c r="L21" s="451"/>
    </row>
    <row r="22" spans="1:12" ht="15.75" hidden="1">
      <c r="A22" s="71" t="s">
        <v>1645</v>
      </c>
      <c r="B22" s="608" t="s">
        <v>1646</v>
      </c>
      <c r="C22" s="72" t="s">
        <v>813</v>
      </c>
      <c r="D22" s="521" t="s">
        <v>2314</v>
      </c>
      <c r="E22" s="29">
        <v>78.97</v>
      </c>
      <c r="F22" s="199">
        <v>1.12</v>
      </c>
      <c r="G22" s="29">
        <f t="shared" si="0"/>
        <v>88.44640000000001</v>
      </c>
      <c r="H22" s="29">
        <f>(G22+G23)*'Тарифные ставки'!$B$13</f>
        <v>458.42085000000003</v>
      </c>
      <c r="I22" s="29">
        <f>H22*'Тарифные ставки'!$B$14*'Тарифные ставки'!$B$15</f>
        <v>555.6060702</v>
      </c>
      <c r="J22" s="29"/>
      <c r="K22" s="525">
        <v>904.181821875</v>
      </c>
      <c r="L22" s="451"/>
    </row>
    <row r="23" spans="1:12" ht="30.75" customHeight="1" hidden="1">
      <c r="A23" s="69"/>
      <c r="B23" s="609"/>
      <c r="C23" s="70"/>
      <c r="D23" s="522" t="s">
        <v>2314</v>
      </c>
      <c r="E23" s="28">
        <v>78.97</v>
      </c>
      <c r="F23" s="200">
        <v>1.13</v>
      </c>
      <c r="G23" s="28">
        <f t="shared" si="0"/>
        <v>89.2361</v>
      </c>
      <c r="H23" s="28"/>
      <c r="I23" s="28"/>
      <c r="J23" s="28"/>
      <c r="K23" s="525"/>
      <c r="L23" s="451"/>
    </row>
    <row r="24" spans="1:12" ht="15.75" hidden="1">
      <c r="A24" s="71" t="s">
        <v>1647</v>
      </c>
      <c r="B24" s="608" t="s">
        <v>1648</v>
      </c>
      <c r="C24" s="72" t="s">
        <v>813</v>
      </c>
      <c r="D24" s="521" t="s">
        <v>2314</v>
      </c>
      <c r="E24" s="29">
        <v>78.97</v>
      </c>
      <c r="F24" s="199">
        <v>1.8</v>
      </c>
      <c r="G24" s="29">
        <f t="shared" si="0"/>
        <v>142.14600000000002</v>
      </c>
      <c r="H24" s="29">
        <f>(G24+G25)*'Тарифные ставки'!$B$13</f>
        <v>735.510786</v>
      </c>
      <c r="I24" s="29">
        <f>H24*'Тарифные ставки'!$B$14*'Тарифные ставки'!$B$15</f>
        <v>891.439072632</v>
      </c>
      <c r="J24" s="29"/>
      <c r="K24" s="525">
        <v>1450.709500875</v>
      </c>
      <c r="L24" s="451"/>
    </row>
    <row r="25" spans="1:12" ht="15.75" hidden="1">
      <c r="A25" s="69"/>
      <c r="B25" s="609"/>
      <c r="C25" s="70"/>
      <c r="D25" s="522" t="s">
        <v>2314</v>
      </c>
      <c r="E25" s="28">
        <v>78.97</v>
      </c>
      <c r="F25" s="200">
        <v>1.81</v>
      </c>
      <c r="G25" s="28">
        <f t="shared" si="0"/>
        <v>142.9357</v>
      </c>
      <c r="H25" s="28"/>
      <c r="I25" s="28"/>
      <c r="J25" s="28"/>
      <c r="K25" s="525"/>
      <c r="L25" s="451"/>
    </row>
    <row r="26" spans="1:12" ht="15.75" hidden="1">
      <c r="A26" s="71" t="s">
        <v>1649</v>
      </c>
      <c r="B26" s="608" t="s">
        <v>1650</v>
      </c>
      <c r="C26" s="72" t="s">
        <v>813</v>
      </c>
      <c r="D26" s="521" t="s">
        <v>2314</v>
      </c>
      <c r="E26" s="29">
        <v>78.97</v>
      </c>
      <c r="F26" s="199">
        <v>2.6</v>
      </c>
      <c r="G26" s="29">
        <f t="shared" si="0"/>
        <v>205.322</v>
      </c>
      <c r="H26" s="29">
        <f>(G26+G27)*'Тарифные ставки'!$B$13</f>
        <v>1059.46152</v>
      </c>
      <c r="I26" s="29">
        <f>H26*'Тарифные ставки'!$B$14*'Тарифные ставки'!$B$15</f>
        <v>1284.06736224</v>
      </c>
      <c r="J26" s="29"/>
      <c r="K26" s="525">
        <v>2089.664655</v>
      </c>
      <c r="L26" s="451"/>
    </row>
    <row r="27" spans="1:12" ht="15.75" hidden="1">
      <c r="A27" s="69"/>
      <c r="B27" s="609"/>
      <c r="C27" s="70"/>
      <c r="D27" s="522" t="s">
        <v>2314</v>
      </c>
      <c r="E27" s="28">
        <v>78.97</v>
      </c>
      <c r="F27" s="200">
        <v>2.6</v>
      </c>
      <c r="G27" s="28">
        <f t="shared" si="0"/>
        <v>205.322</v>
      </c>
      <c r="H27" s="28"/>
      <c r="I27" s="28"/>
      <c r="J27" s="28"/>
      <c r="K27" s="525"/>
      <c r="L27" s="451"/>
    </row>
    <row r="28" spans="1:12" ht="15.75" hidden="1">
      <c r="A28" s="71" t="s">
        <v>1651</v>
      </c>
      <c r="B28" s="608" t="s">
        <v>199</v>
      </c>
      <c r="C28" s="72" t="s">
        <v>813</v>
      </c>
      <c r="D28" s="521" t="s">
        <v>2314</v>
      </c>
      <c r="E28" s="29">
        <v>78.97</v>
      </c>
      <c r="F28" s="199">
        <v>3.04</v>
      </c>
      <c r="G28" s="29">
        <f t="shared" si="0"/>
        <v>240.0688</v>
      </c>
      <c r="H28" s="29">
        <f>(G28+G29)*'Тарифные ставки'!$B$13</f>
        <v>1238.755008</v>
      </c>
      <c r="I28" s="29">
        <f>H28*'Тарифные ставки'!$B$14*'Тарифные ставки'!$B$15</f>
        <v>1501.371069696</v>
      </c>
      <c r="J28" s="29"/>
      <c r="K28" s="525">
        <v>2443.300212</v>
      </c>
      <c r="L28" s="451"/>
    </row>
    <row r="29" spans="1:12" ht="15.75" hidden="1">
      <c r="A29" s="69"/>
      <c r="B29" s="609"/>
      <c r="C29" s="70"/>
      <c r="D29" s="522" t="s">
        <v>2314</v>
      </c>
      <c r="E29" s="28">
        <v>78.97</v>
      </c>
      <c r="F29" s="200">
        <v>3.04</v>
      </c>
      <c r="G29" s="28">
        <f t="shared" si="0"/>
        <v>240.0688</v>
      </c>
      <c r="H29" s="28"/>
      <c r="I29" s="28"/>
      <c r="J29" s="28"/>
      <c r="K29" s="525"/>
      <c r="L29" s="451"/>
    </row>
    <row r="30" spans="1:12" ht="15.75" hidden="1">
      <c r="A30" s="71" t="s">
        <v>200</v>
      </c>
      <c r="B30" s="608" t="s">
        <v>201</v>
      </c>
      <c r="C30" s="72" t="s">
        <v>202</v>
      </c>
      <c r="D30" s="521" t="s">
        <v>2314</v>
      </c>
      <c r="E30" s="29">
        <v>78.97</v>
      </c>
      <c r="F30" s="199">
        <v>5.67</v>
      </c>
      <c r="G30" s="29">
        <f t="shared" si="0"/>
        <v>447.7599</v>
      </c>
      <c r="H30" s="29">
        <f>(G30+G31)*'Тарифные ставки'!$B$13</f>
        <v>1733.8495260000002</v>
      </c>
      <c r="I30" s="29">
        <f>H30*'Тарифные ставки'!$B$14*'Тарифные ставки'!$B$15</f>
        <v>2101.425625512</v>
      </c>
      <c r="J30" s="29"/>
      <c r="K30" s="525">
        <v>3419.8165796250005</v>
      </c>
      <c r="L30" s="451"/>
    </row>
    <row r="31" spans="1:12" ht="15.75" hidden="1">
      <c r="A31" s="69"/>
      <c r="B31" s="609"/>
      <c r="C31" s="70" t="s">
        <v>203</v>
      </c>
      <c r="D31" s="522" t="s">
        <v>2314</v>
      </c>
      <c r="E31" s="28">
        <v>78.97</v>
      </c>
      <c r="F31" s="200">
        <v>2.84</v>
      </c>
      <c r="G31" s="28">
        <f t="shared" si="0"/>
        <v>224.2748</v>
      </c>
      <c r="H31" s="28"/>
      <c r="I31" s="28"/>
      <c r="J31" s="28"/>
      <c r="K31" s="525"/>
      <c r="L31" s="451"/>
    </row>
    <row r="32" spans="1:12" ht="31.5" hidden="1">
      <c r="A32" s="73" t="s">
        <v>204</v>
      </c>
      <c r="B32" s="39" t="s">
        <v>205</v>
      </c>
      <c r="C32" s="74" t="s">
        <v>206</v>
      </c>
      <c r="D32" s="522" t="s">
        <v>2314</v>
      </c>
      <c r="E32" s="34">
        <v>78.97</v>
      </c>
      <c r="F32" s="34">
        <v>2.15</v>
      </c>
      <c r="G32" s="34">
        <f t="shared" si="0"/>
        <v>169.78549999999998</v>
      </c>
      <c r="H32" s="34">
        <f>G32*'Тарифные ставки'!$B$13</f>
        <v>438.04659</v>
      </c>
      <c r="I32" s="34">
        <f>H32*'Тарифные ставки'!$B$14*'Тарифные ставки'!$B$15</f>
        <v>530.9124670799999</v>
      </c>
      <c r="J32" s="34"/>
      <c r="K32" s="525">
        <v>863.9959631249999</v>
      </c>
      <c r="L32" s="451"/>
    </row>
    <row r="33" spans="1:12" ht="31.5" hidden="1">
      <c r="A33" s="73" t="s">
        <v>207</v>
      </c>
      <c r="B33" s="39" t="s">
        <v>208</v>
      </c>
      <c r="C33" s="74" t="s">
        <v>206</v>
      </c>
      <c r="D33" s="522" t="s">
        <v>2314</v>
      </c>
      <c r="E33" s="34">
        <v>78.97</v>
      </c>
      <c r="F33" s="34">
        <v>2.85</v>
      </c>
      <c r="G33" s="34">
        <f t="shared" si="0"/>
        <v>225.0645</v>
      </c>
      <c r="H33" s="34">
        <f>G33*'Тарифные ставки'!$B$13</f>
        <v>580.66641</v>
      </c>
      <c r="I33" s="34">
        <f>H33*'Тарифные ставки'!$B$14*'Тарифные ставки'!$B$15</f>
        <v>703.7676889200001</v>
      </c>
      <c r="J33" s="34"/>
      <c r="K33" s="525">
        <v>1145.296974375</v>
      </c>
      <c r="L33" s="451"/>
    </row>
    <row r="34" spans="1:12" ht="31.5" hidden="1">
      <c r="A34" s="69" t="s">
        <v>209</v>
      </c>
      <c r="B34" s="30" t="s">
        <v>210</v>
      </c>
      <c r="C34" s="70" t="s">
        <v>206</v>
      </c>
      <c r="D34" s="522" t="s">
        <v>2314</v>
      </c>
      <c r="E34" s="28">
        <v>78.97</v>
      </c>
      <c r="F34" s="200">
        <v>1.15</v>
      </c>
      <c r="G34" s="28">
        <f t="shared" si="0"/>
        <v>90.81549999999999</v>
      </c>
      <c r="H34" s="28">
        <f>G34*'Тарифные ставки'!$B$13</f>
        <v>234.30398999999997</v>
      </c>
      <c r="I34" s="28">
        <f>H34*'Тарифные ставки'!$B$14*'Тарифные ставки'!$B$15</f>
        <v>283.97643587999994</v>
      </c>
      <c r="J34" s="28"/>
      <c r="K34" s="525">
        <v>462.13737562499995</v>
      </c>
      <c r="L34" s="451"/>
    </row>
    <row r="35" spans="1:12" ht="15.75" hidden="1">
      <c r="A35" s="71" t="s">
        <v>211</v>
      </c>
      <c r="B35" s="608" t="s">
        <v>212</v>
      </c>
      <c r="C35" s="72" t="s">
        <v>213</v>
      </c>
      <c r="D35" s="521" t="s">
        <v>2314</v>
      </c>
      <c r="E35" s="29">
        <v>78.97</v>
      </c>
      <c r="F35" s="199">
        <v>22.6</v>
      </c>
      <c r="G35" s="29">
        <f t="shared" si="0"/>
        <v>1784.722</v>
      </c>
      <c r="H35" s="29">
        <f>(G35+G36)*'Тарифные ставки'!$B$13</f>
        <v>6927.2484</v>
      </c>
      <c r="I35" s="29">
        <f>H35*'Тарифные ставки'!$B$14*'Тарифные ставки'!$B$15</f>
        <v>8395.8250608</v>
      </c>
      <c r="J35" s="29"/>
      <c r="K35" s="525">
        <v>13663.191975</v>
      </c>
      <c r="L35" s="451"/>
    </row>
    <row r="36" spans="1:12" ht="15.75" hidden="1">
      <c r="A36" s="69"/>
      <c r="B36" s="609"/>
      <c r="C36" s="70"/>
      <c r="D36" s="522" t="s">
        <v>2314</v>
      </c>
      <c r="E36" s="28">
        <v>78.97</v>
      </c>
      <c r="F36" s="200">
        <v>11.4</v>
      </c>
      <c r="G36" s="28">
        <f t="shared" si="0"/>
        <v>900.258</v>
      </c>
      <c r="H36" s="28"/>
      <c r="I36" s="28"/>
      <c r="J36" s="28"/>
      <c r="K36" s="525"/>
      <c r="L36" s="451"/>
    </row>
    <row r="37" spans="1:12" ht="15.75" hidden="1">
      <c r="A37" s="71" t="s">
        <v>214</v>
      </c>
      <c r="B37" s="608" t="s">
        <v>215</v>
      </c>
      <c r="C37" s="72" t="s">
        <v>213</v>
      </c>
      <c r="D37" s="521" t="s">
        <v>2314</v>
      </c>
      <c r="E37" s="29">
        <v>78.97</v>
      </c>
      <c r="F37" s="199">
        <v>25.6</v>
      </c>
      <c r="G37" s="29">
        <f t="shared" si="0"/>
        <v>2021.632</v>
      </c>
      <c r="H37" s="29">
        <f>(G37+G38)*'Тарифные ставки'!$B$13</f>
        <v>7823.715840000001</v>
      </c>
      <c r="I37" s="29">
        <f>H37*'Тарифные ставки'!$B$14*'Тарифные ставки'!$B$15</f>
        <v>9482.34359808</v>
      </c>
      <c r="J37" s="29"/>
      <c r="K37" s="525">
        <v>15431.36976</v>
      </c>
      <c r="L37" s="451"/>
    </row>
    <row r="38" spans="1:12" ht="15.75" hidden="1">
      <c r="A38" s="69"/>
      <c r="B38" s="609"/>
      <c r="C38" s="70"/>
      <c r="D38" s="522" t="s">
        <v>2314</v>
      </c>
      <c r="E38" s="28">
        <v>78.97</v>
      </c>
      <c r="F38" s="200">
        <v>12.8</v>
      </c>
      <c r="G38" s="28">
        <f t="shared" si="0"/>
        <v>1010.816</v>
      </c>
      <c r="H38" s="28"/>
      <c r="I38" s="28"/>
      <c r="J38" s="28"/>
      <c r="K38" s="525"/>
      <c r="L38" s="451"/>
    </row>
    <row r="39" spans="1:12" ht="15.75" hidden="1">
      <c r="A39" s="73" t="s">
        <v>216</v>
      </c>
      <c r="B39" s="39" t="s">
        <v>217</v>
      </c>
      <c r="C39" s="74" t="s">
        <v>218</v>
      </c>
      <c r="D39" s="521" t="s">
        <v>2314</v>
      </c>
      <c r="E39" s="29">
        <v>78.97</v>
      </c>
      <c r="F39" s="34">
        <v>1.7</v>
      </c>
      <c r="G39" s="34">
        <f t="shared" si="0"/>
        <v>134.249</v>
      </c>
      <c r="H39" s="34">
        <f>G39*'Тарифные ставки'!$B$13</f>
        <v>346.36242</v>
      </c>
      <c r="I39" s="34">
        <f>H39*'Тарифные ставки'!$B$14*'Тарифные ставки'!$B$15</f>
        <v>419.79125304</v>
      </c>
      <c r="J39" s="34"/>
      <c r="K39" s="525">
        <v>683.15959875</v>
      </c>
      <c r="L39" s="451"/>
    </row>
    <row r="40" spans="1:12" ht="15.75" hidden="1">
      <c r="A40" s="71" t="s">
        <v>219</v>
      </c>
      <c r="B40" s="11" t="s">
        <v>220</v>
      </c>
      <c r="C40" s="72" t="s">
        <v>813</v>
      </c>
      <c r="D40" s="521" t="s">
        <v>2314</v>
      </c>
      <c r="E40" s="29">
        <v>78.97</v>
      </c>
      <c r="F40" s="29">
        <v>2.3</v>
      </c>
      <c r="G40" s="29">
        <f t="shared" si="0"/>
        <v>181.63099999999997</v>
      </c>
      <c r="H40" s="29">
        <f>G40*'Тарифные ставки'!$B$13</f>
        <v>468.60797999999994</v>
      </c>
      <c r="I40" s="29">
        <f>H40*'Тарифные ставки'!$B$14*'Тарифные ставки'!$B$15</f>
        <v>567.9528717599999</v>
      </c>
      <c r="J40" s="29"/>
      <c r="K40" s="525">
        <v>924.2747512499999</v>
      </c>
      <c r="L40" s="451"/>
    </row>
    <row r="41" spans="1:12" ht="15.75">
      <c r="A41" s="73" t="s">
        <v>221</v>
      </c>
      <c r="B41" s="39" t="s">
        <v>222</v>
      </c>
      <c r="C41" s="74" t="s">
        <v>223</v>
      </c>
      <c r="D41" s="463" t="s">
        <v>2314</v>
      </c>
      <c r="E41" s="34">
        <f>'Тарифные ставки'!$B$5</f>
        <v>137.4825</v>
      </c>
      <c r="F41" s="34">
        <v>0.35</v>
      </c>
      <c r="G41" s="34">
        <f t="shared" si="0"/>
        <v>48.118874999999996</v>
      </c>
      <c r="H41" s="34">
        <f>G41*'Тарифные ставки'!$B$13</f>
        <v>124.14669749999999</v>
      </c>
      <c r="I41" s="34">
        <f>H41*'Тарифные ставки'!$B$14*'Тарифные ставки'!$B$15</f>
        <v>150.46579736999996</v>
      </c>
      <c r="J41" s="398">
        <f>I41-I41/'Тарифные ставки'!$B$15</f>
        <v>25.077632894999994</v>
      </c>
      <c r="K41" s="527">
        <v>140.650505625</v>
      </c>
      <c r="L41" s="491">
        <f>I41/K41*100-100</f>
        <v>6.978497305348725</v>
      </c>
    </row>
    <row r="42" spans="1:12" ht="15.75">
      <c r="A42" s="73" t="s">
        <v>224</v>
      </c>
      <c r="B42" s="39" t="s">
        <v>225</v>
      </c>
      <c r="C42" s="74"/>
      <c r="D42" s="463" t="s">
        <v>2314</v>
      </c>
      <c r="E42" s="34">
        <f>'Тарифные ставки'!$B$5</f>
        <v>137.4825</v>
      </c>
      <c r="F42" s="34">
        <v>0.85</v>
      </c>
      <c r="G42" s="34">
        <f t="shared" si="0"/>
        <v>116.86012499999998</v>
      </c>
      <c r="H42" s="34">
        <f>G42*'Тарифные ставки'!$B$13</f>
        <v>301.49912249999994</v>
      </c>
      <c r="I42" s="34">
        <f>H42*'Тарифные ставки'!$B$14*'Тарифные ставки'!$B$15</f>
        <v>365.41693646999994</v>
      </c>
      <c r="J42" s="398">
        <f>I42-I42/'Тарифные ставки'!$B$15</f>
        <v>60.90282274499998</v>
      </c>
      <c r="K42" s="527">
        <v>341.579799375</v>
      </c>
      <c r="L42" s="491">
        <f>I42/K42*100-100</f>
        <v>6.978497305348725</v>
      </c>
    </row>
    <row r="43" spans="1:10" ht="15.75" customHeight="1">
      <c r="A43" s="695" t="s">
        <v>1818</v>
      </c>
      <c r="B43" s="696"/>
      <c r="C43" s="696"/>
      <c r="D43" s="696"/>
      <c r="E43" s="696"/>
      <c r="F43" s="696"/>
      <c r="G43" s="696"/>
      <c r="H43" s="696"/>
      <c r="I43" s="696"/>
      <c r="J43" s="697"/>
    </row>
    <row r="45" spans="1:10" ht="15.75">
      <c r="A45" s="604" t="s">
        <v>1334</v>
      </c>
      <c r="B45" s="604"/>
      <c r="C45" s="604"/>
      <c r="D45" s="604"/>
      <c r="E45" s="604"/>
      <c r="F45" s="604"/>
      <c r="G45" s="604"/>
      <c r="H45" s="604"/>
      <c r="I45" s="604"/>
      <c r="J45" s="604">
        <f>H45*1.1*0.18</f>
        <v>0</v>
      </c>
    </row>
    <row r="46" spans="1:10" ht="15.75">
      <c r="A46" s="604" t="s">
        <v>327</v>
      </c>
      <c r="B46" s="604"/>
      <c r="C46" s="604"/>
      <c r="D46" s="604"/>
      <c r="E46" s="604"/>
      <c r="F46" s="604"/>
      <c r="G46" s="604"/>
      <c r="H46" s="604"/>
      <c r="I46" s="604"/>
      <c r="J46" s="604">
        <f>H46*1.1*0.18</f>
        <v>0</v>
      </c>
    </row>
    <row r="47" spans="1:10" ht="15.75">
      <c r="A47" s="311"/>
      <c r="B47" s="311"/>
      <c r="C47" s="311"/>
      <c r="D47" s="311"/>
      <c r="E47" s="311"/>
      <c r="F47" s="311"/>
      <c r="G47" s="311"/>
      <c r="H47" s="311"/>
      <c r="I47" s="311"/>
      <c r="J47" s="311"/>
    </row>
    <row r="48" spans="1:10" ht="63">
      <c r="A48" s="459" t="s">
        <v>83</v>
      </c>
      <c r="B48" s="371" t="s">
        <v>82</v>
      </c>
      <c r="C48" s="371" t="s">
        <v>77</v>
      </c>
      <c r="D48" s="371" t="s">
        <v>81</v>
      </c>
      <c r="E48" s="372" t="s">
        <v>85</v>
      </c>
      <c r="F48" s="372" t="s">
        <v>78</v>
      </c>
      <c r="G48" s="372" t="s">
        <v>79</v>
      </c>
      <c r="H48" s="372" t="s">
        <v>80</v>
      </c>
      <c r="I48" s="371" t="s">
        <v>843</v>
      </c>
      <c r="J48" s="371" t="s">
        <v>2349</v>
      </c>
    </row>
    <row r="49" spans="1:12" ht="31.5">
      <c r="A49" s="73" t="s">
        <v>1819</v>
      </c>
      <c r="B49" s="39" t="s">
        <v>1820</v>
      </c>
      <c r="C49" s="74" t="s">
        <v>194</v>
      </c>
      <c r="D49" s="463" t="s">
        <v>2314</v>
      </c>
      <c r="E49" s="34">
        <f>'Тарифные ставки'!$B$5</f>
        <v>137.4825</v>
      </c>
      <c r="F49" s="34">
        <v>1.9</v>
      </c>
      <c r="G49" s="34">
        <f>E49*F49</f>
        <v>261.21675</v>
      </c>
      <c r="H49" s="34">
        <f>G49*'Тарифные ставки'!$B$13</f>
        <v>673.939215</v>
      </c>
      <c r="I49" s="34">
        <f>H49*'Тарифные ставки'!$B$14*'Тарифные ставки'!$B$15</f>
        <v>816.8143285799999</v>
      </c>
      <c r="J49" s="398">
        <f>I49-I49/'Тарифные ставки'!$B$15</f>
        <v>136.13572143</v>
      </c>
      <c r="K49" s="527">
        <v>763.5313162499999</v>
      </c>
      <c r="L49" s="491">
        <f aca="true" t="shared" si="1" ref="L49:L55">I49/K49*100-100</f>
        <v>6.978497305348739</v>
      </c>
    </row>
    <row r="50" spans="1:12" ht="15.75">
      <c r="A50" s="73" t="s">
        <v>1821</v>
      </c>
      <c r="B50" s="39" t="s">
        <v>1822</v>
      </c>
      <c r="C50" s="74" t="s">
        <v>194</v>
      </c>
      <c r="D50" s="463" t="s">
        <v>2314</v>
      </c>
      <c r="E50" s="34">
        <f>'Тарифные ставки'!$B$5</f>
        <v>137.4825</v>
      </c>
      <c r="F50" s="34">
        <v>0.69</v>
      </c>
      <c r="G50" s="34">
        <f>E50*F50</f>
        <v>94.86292499999999</v>
      </c>
      <c r="H50" s="34">
        <f>G50*'Тарифные ставки'!$B$13</f>
        <v>244.7463465</v>
      </c>
      <c r="I50" s="34">
        <f>H50*'Тарифные ставки'!$B$14*'Тарифные ставки'!$B$15</f>
        <v>296.63257195799997</v>
      </c>
      <c r="J50" s="398">
        <f>I50-I50/'Тарифные ставки'!$B$15</f>
        <v>49.438761992999986</v>
      </c>
      <c r="K50" s="527">
        <v>277.28242537499995</v>
      </c>
      <c r="L50" s="491">
        <f t="shared" si="1"/>
        <v>6.978497305348739</v>
      </c>
    </row>
    <row r="51" spans="1:12" ht="15.75">
      <c r="A51" s="73" t="s">
        <v>1823</v>
      </c>
      <c r="B51" s="39" t="s">
        <v>1824</v>
      </c>
      <c r="C51" s="74" t="s">
        <v>806</v>
      </c>
      <c r="D51" s="463" t="s">
        <v>2314</v>
      </c>
      <c r="E51" s="34">
        <f>'Тарифные ставки'!$B$5</f>
        <v>137.4825</v>
      </c>
      <c r="F51" s="34">
        <v>1.51</v>
      </c>
      <c r="G51" s="34">
        <f aca="true" t="shared" si="2" ref="G51:G78">E51*F51</f>
        <v>207.59857499999998</v>
      </c>
      <c r="H51" s="34">
        <f>G51*'Тарифные ставки'!$B$13</f>
        <v>535.6043235</v>
      </c>
      <c r="I51" s="34">
        <f>H51*'Тарифные ставки'!$B$14*'Тарифные ставки'!$B$15</f>
        <v>649.152440082</v>
      </c>
      <c r="J51" s="398">
        <f>I51-I51/'Тарифные ставки'!$B$15</f>
        <v>108.19207334700002</v>
      </c>
      <c r="K51" s="527">
        <v>606.8064671249999</v>
      </c>
      <c r="L51" s="491">
        <f t="shared" si="1"/>
        <v>6.978497305348739</v>
      </c>
    </row>
    <row r="52" spans="1:12" ht="31.5">
      <c r="A52" s="73" t="s">
        <v>1825</v>
      </c>
      <c r="B52" s="39" t="s">
        <v>2468</v>
      </c>
      <c r="C52" s="74" t="s">
        <v>806</v>
      </c>
      <c r="D52" s="463" t="s">
        <v>2314</v>
      </c>
      <c r="E52" s="34">
        <f>'Тарифные ставки'!$B$5</f>
        <v>137.4825</v>
      </c>
      <c r="F52" s="34">
        <v>1.09</v>
      </c>
      <c r="G52" s="34">
        <f t="shared" si="2"/>
        <v>149.85592499999998</v>
      </c>
      <c r="H52" s="34">
        <f>G52*'Тарифные ставки'!$B$13</f>
        <v>386.62828649999994</v>
      </c>
      <c r="I52" s="34">
        <f>H52*'Тарифные ставки'!$B$14*'Тарифные ставки'!$B$15</f>
        <v>468.5934832379999</v>
      </c>
      <c r="J52" s="398">
        <f>I52-I52/'Тарифные ставки'!$B$15</f>
        <v>78.09891387299996</v>
      </c>
      <c r="K52" s="527">
        <v>438.02586037500004</v>
      </c>
      <c r="L52" s="491">
        <f t="shared" si="1"/>
        <v>6.978497305348725</v>
      </c>
    </row>
    <row r="53" spans="1:12" ht="15.75">
      <c r="A53" s="73" t="s">
        <v>1826</v>
      </c>
      <c r="B53" s="39" t="s">
        <v>332</v>
      </c>
      <c r="C53" s="74" t="s">
        <v>806</v>
      </c>
      <c r="D53" s="463" t="s">
        <v>2314</v>
      </c>
      <c r="E53" s="34">
        <f>'Тарифные ставки'!$B$5</f>
        <v>137.4825</v>
      </c>
      <c r="F53" s="34">
        <v>0.62</v>
      </c>
      <c r="G53" s="34">
        <f t="shared" si="2"/>
        <v>85.23915</v>
      </c>
      <c r="H53" s="34">
        <f>G53*'Тарифные ставки'!$B$13</f>
        <v>219.91700699999998</v>
      </c>
      <c r="I53" s="34">
        <f>H53*'Тарифные ставки'!$B$14*'Тарифные ставки'!$B$15</f>
        <v>266.53941248399997</v>
      </c>
      <c r="J53" s="398">
        <f>I53-I53/'Тарифные ставки'!$B$15</f>
        <v>44.423235413999976</v>
      </c>
      <c r="K53" s="527">
        <v>249.15232425</v>
      </c>
      <c r="L53" s="491">
        <f t="shared" si="1"/>
        <v>6.978497305348725</v>
      </c>
    </row>
    <row r="54" spans="1:12" ht="15.75">
      <c r="A54" s="73" t="s">
        <v>333</v>
      </c>
      <c r="B54" s="39" t="s">
        <v>2469</v>
      </c>
      <c r="C54" s="74" t="s">
        <v>806</v>
      </c>
      <c r="D54" s="463" t="s">
        <v>2314</v>
      </c>
      <c r="E54" s="34">
        <f>'Тарифные ставки'!$B$5</f>
        <v>137.4825</v>
      </c>
      <c r="F54" s="34">
        <v>1.14</v>
      </c>
      <c r="G54" s="34">
        <f t="shared" si="2"/>
        <v>156.73004999999998</v>
      </c>
      <c r="H54" s="34">
        <f>G54*'Тарифные ставки'!$B$13</f>
        <v>404.36352899999997</v>
      </c>
      <c r="I54" s="34">
        <f>H54*'Тарифные ставки'!$B$14*'Тарифные ставки'!$B$15</f>
        <v>490.08859714799996</v>
      </c>
      <c r="J54" s="398">
        <f>I54-I54/'Тарифные ставки'!$B$15</f>
        <v>81.681432858</v>
      </c>
      <c r="K54" s="527">
        <v>458.1187897499999</v>
      </c>
      <c r="L54" s="491">
        <f t="shared" si="1"/>
        <v>6.978497305348739</v>
      </c>
    </row>
    <row r="55" spans="1:12" ht="15.75">
      <c r="A55" s="71" t="s">
        <v>334</v>
      </c>
      <c r="B55" s="608" t="s">
        <v>335</v>
      </c>
      <c r="C55" s="72" t="s">
        <v>806</v>
      </c>
      <c r="D55" s="523" t="s">
        <v>2314</v>
      </c>
      <c r="E55" s="34">
        <f>'Тарифные ставки'!$B$5</f>
        <v>137.4825</v>
      </c>
      <c r="F55" s="29">
        <v>0.15</v>
      </c>
      <c r="G55" s="29">
        <f t="shared" si="2"/>
        <v>20.622374999999998</v>
      </c>
      <c r="H55" s="29">
        <f>(G55+G56)*'Тарифные ставки'!$B$13</f>
        <v>106.41145499999999</v>
      </c>
      <c r="I55" s="29">
        <f>H55*'Тарифные ставки'!$B$14*'Тарифные ставки'!$B$15</f>
        <v>128.97068345999998</v>
      </c>
      <c r="J55" s="400">
        <f>I55-I55/'Тарифные ставки'!$B$15</f>
        <v>21.495113909999986</v>
      </c>
      <c r="K55" s="524">
        <v>120.55757625</v>
      </c>
      <c r="L55" s="450">
        <f t="shared" si="1"/>
        <v>6.978497305348725</v>
      </c>
    </row>
    <row r="56" spans="1:12" ht="15.75">
      <c r="A56" s="69"/>
      <c r="B56" s="609"/>
      <c r="C56" s="70"/>
      <c r="D56" s="462" t="s">
        <v>2314</v>
      </c>
      <c r="E56" s="34">
        <f>'Тарифные ставки'!$B$5</f>
        <v>137.4825</v>
      </c>
      <c r="F56" s="28">
        <v>0.15</v>
      </c>
      <c r="G56" s="28">
        <f t="shared" si="2"/>
        <v>20.622374999999998</v>
      </c>
      <c r="H56" s="28"/>
      <c r="I56" s="28"/>
      <c r="J56" s="28"/>
      <c r="K56" s="526"/>
      <c r="L56" s="340"/>
    </row>
    <row r="57" spans="1:12" ht="15.75" hidden="1">
      <c r="A57" s="69" t="s">
        <v>336</v>
      </c>
      <c r="B57" s="30" t="s">
        <v>337</v>
      </c>
      <c r="C57" s="70" t="s">
        <v>338</v>
      </c>
      <c r="D57" s="462" t="s">
        <v>2314</v>
      </c>
      <c r="E57" s="28">
        <v>78.97</v>
      </c>
      <c r="F57" s="529">
        <v>3.56</v>
      </c>
      <c r="G57" s="28">
        <f t="shared" si="2"/>
        <v>281.1332</v>
      </c>
      <c r="H57" s="28">
        <f>G57*'Тарифные ставки'!$B$13</f>
        <v>725.323656</v>
      </c>
      <c r="I57" s="28">
        <f>H57*'Тарифные ставки'!$B$14*'Тарифные ставки'!$B$15</f>
        <v>879.092271072</v>
      </c>
      <c r="J57" s="28"/>
      <c r="K57" s="525">
        <v>1430.6165715</v>
      </c>
      <c r="L57" s="451"/>
    </row>
    <row r="58" spans="1:12" ht="15.75" hidden="1">
      <c r="A58" s="73" t="s">
        <v>339</v>
      </c>
      <c r="B58" s="39" t="s">
        <v>340</v>
      </c>
      <c r="C58" s="74" t="s">
        <v>366</v>
      </c>
      <c r="D58" s="463" t="s">
        <v>2314</v>
      </c>
      <c r="E58" s="34">
        <v>78.97</v>
      </c>
      <c r="F58" s="277">
        <v>4.18</v>
      </c>
      <c r="G58" s="34">
        <f t="shared" si="2"/>
        <v>330.09459999999996</v>
      </c>
      <c r="H58" s="34">
        <f>G58*'Тарифные ставки'!$B$13</f>
        <v>851.644068</v>
      </c>
      <c r="I58" s="34">
        <f>H58*'Тарифные ставки'!$B$14*'Тарифные ставки'!$B$15</f>
        <v>1032.1926104159998</v>
      </c>
      <c r="J58" s="34"/>
      <c r="K58" s="525">
        <v>1679.7688957499997</v>
      </c>
      <c r="L58" s="451"/>
    </row>
    <row r="59" spans="1:12" ht="15.75" hidden="1">
      <c r="A59" s="73" t="s">
        <v>341</v>
      </c>
      <c r="B59" s="39" t="s">
        <v>342</v>
      </c>
      <c r="C59" s="74" t="s">
        <v>366</v>
      </c>
      <c r="D59" s="463" t="s">
        <v>2314</v>
      </c>
      <c r="E59" s="34">
        <v>78.97</v>
      </c>
      <c r="F59" s="277">
        <v>2.82</v>
      </c>
      <c r="G59" s="34">
        <f t="shared" si="2"/>
        <v>222.69539999999998</v>
      </c>
      <c r="H59" s="34">
        <f>G59*'Тарифные ставки'!$B$13</f>
        <v>574.554132</v>
      </c>
      <c r="I59" s="34">
        <f>H59*'Тарифные ставки'!$B$14*'Тарифные ставки'!$B$15</f>
        <v>696.359607984</v>
      </c>
      <c r="J59" s="34"/>
      <c r="K59" s="525">
        <v>1133.24121675</v>
      </c>
      <c r="L59" s="451"/>
    </row>
    <row r="60" spans="1:12" ht="15.75" hidden="1">
      <c r="A60" s="73" t="s">
        <v>343</v>
      </c>
      <c r="B60" s="39" t="s">
        <v>344</v>
      </c>
      <c r="C60" s="74" t="s">
        <v>366</v>
      </c>
      <c r="D60" s="463" t="s">
        <v>2314</v>
      </c>
      <c r="E60" s="34">
        <v>78.97</v>
      </c>
      <c r="F60" s="277">
        <v>3.08</v>
      </c>
      <c r="G60" s="34">
        <f t="shared" si="2"/>
        <v>243.2276</v>
      </c>
      <c r="H60" s="34">
        <f>G60*'Тарифные ставки'!$B$13</f>
        <v>627.527208</v>
      </c>
      <c r="I60" s="34">
        <f>H60*'Тарифные ставки'!$B$14*'Тарифные ставки'!$B$15</f>
        <v>760.5629760959999</v>
      </c>
      <c r="J60" s="34"/>
      <c r="K60" s="525">
        <v>1237.7244494999998</v>
      </c>
      <c r="L60" s="451"/>
    </row>
    <row r="61" spans="1:12" ht="15.75" hidden="1">
      <c r="A61" s="73" t="s">
        <v>345</v>
      </c>
      <c r="B61" s="39" t="s">
        <v>346</v>
      </c>
      <c r="C61" s="74" t="s">
        <v>366</v>
      </c>
      <c r="D61" s="463" t="s">
        <v>2314</v>
      </c>
      <c r="E61" s="34">
        <v>78.97</v>
      </c>
      <c r="F61" s="277">
        <v>3.51</v>
      </c>
      <c r="G61" s="34">
        <f t="shared" si="2"/>
        <v>277.18469999999996</v>
      </c>
      <c r="H61" s="34">
        <f>G61*'Тарифные ставки'!$B$13</f>
        <v>715.1365259999999</v>
      </c>
      <c r="I61" s="34">
        <f>H61*'Тарифные ставки'!$B$14*'Тарифные ставки'!$B$15</f>
        <v>866.7454695119999</v>
      </c>
      <c r="J61" s="34"/>
      <c r="K61" s="525">
        <v>1410.523642125</v>
      </c>
      <c r="L61" s="451"/>
    </row>
    <row r="62" spans="1:12" ht="15.75" hidden="1">
      <c r="A62" s="73" t="s">
        <v>347</v>
      </c>
      <c r="B62" s="39" t="s">
        <v>348</v>
      </c>
      <c r="C62" s="74" t="s">
        <v>366</v>
      </c>
      <c r="D62" s="463" t="s">
        <v>2314</v>
      </c>
      <c r="E62" s="34">
        <v>78.97</v>
      </c>
      <c r="F62" s="277">
        <v>3.41</v>
      </c>
      <c r="G62" s="34">
        <f t="shared" si="2"/>
        <v>269.28770000000003</v>
      </c>
      <c r="H62" s="34">
        <f>G62*'Тарифные ставки'!$B$13</f>
        <v>694.7622660000001</v>
      </c>
      <c r="I62" s="34">
        <f>H62*'Тарифные ставки'!$B$14*'Тарифные ставки'!$B$15</f>
        <v>842.0518663920001</v>
      </c>
      <c r="J62" s="34"/>
      <c r="K62" s="525">
        <v>1370.337783375</v>
      </c>
      <c r="L62" s="451"/>
    </row>
    <row r="63" spans="1:12" ht="31.5" hidden="1">
      <c r="A63" s="73" t="s">
        <v>349</v>
      </c>
      <c r="B63" s="39" t="s">
        <v>1827</v>
      </c>
      <c r="C63" s="74" t="s">
        <v>806</v>
      </c>
      <c r="D63" s="463" t="s">
        <v>2314</v>
      </c>
      <c r="E63" s="34">
        <v>78.97</v>
      </c>
      <c r="F63" s="34">
        <v>2.3</v>
      </c>
      <c r="G63" s="34">
        <f t="shared" si="2"/>
        <v>181.63099999999997</v>
      </c>
      <c r="H63" s="34">
        <f>G63*'Тарифные ставки'!$B$13</f>
        <v>468.60797999999994</v>
      </c>
      <c r="I63" s="34">
        <f>H63*'Тарифные ставки'!$B$14*'Тарифные ставки'!$B$15</f>
        <v>567.9528717599999</v>
      </c>
      <c r="J63" s="34"/>
      <c r="K63" s="525">
        <v>924.2747512499999</v>
      </c>
      <c r="L63" s="451"/>
    </row>
    <row r="64" spans="1:12" ht="31.5" hidden="1">
      <c r="A64" s="73" t="s">
        <v>1828</v>
      </c>
      <c r="B64" s="39" t="s">
        <v>1829</v>
      </c>
      <c r="C64" s="74" t="s">
        <v>194</v>
      </c>
      <c r="D64" s="463" t="s">
        <v>2314</v>
      </c>
      <c r="E64" s="34">
        <v>78.97</v>
      </c>
      <c r="F64" s="34">
        <v>1.45</v>
      </c>
      <c r="G64" s="34">
        <f t="shared" si="2"/>
        <v>114.50649999999999</v>
      </c>
      <c r="H64" s="34">
        <f>G64*'Тарифные ставки'!$B$13</f>
        <v>295.42677</v>
      </c>
      <c r="I64" s="34">
        <f>H64*'Тарифные ставки'!$B$14*'Тарифные ставки'!$B$15</f>
        <v>358.05724524</v>
      </c>
      <c r="J64" s="34"/>
      <c r="K64" s="525">
        <v>582.6949518749999</v>
      </c>
      <c r="L64" s="451"/>
    </row>
    <row r="65" spans="1:12" ht="31.5" hidden="1">
      <c r="A65" s="73" t="s">
        <v>1830</v>
      </c>
      <c r="B65" s="39" t="s">
        <v>1831</v>
      </c>
      <c r="C65" s="74" t="s">
        <v>812</v>
      </c>
      <c r="D65" s="463" t="s">
        <v>2314</v>
      </c>
      <c r="E65" s="34">
        <v>78.97</v>
      </c>
      <c r="F65" s="34">
        <v>0.9</v>
      </c>
      <c r="G65" s="34">
        <f t="shared" si="2"/>
        <v>71.07300000000001</v>
      </c>
      <c r="H65" s="34">
        <f>G65*'Тарифные ставки'!$B$13</f>
        <v>183.36834000000002</v>
      </c>
      <c r="I65" s="34">
        <f>H65*'Тарифные ставки'!$B$14*'Тарифные ставки'!$B$15</f>
        <v>222.24242808000002</v>
      </c>
      <c r="J65" s="34"/>
      <c r="K65" s="525">
        <v>361.67272875</v>
      </c>
      <c r="L65" s="451"/>
    </row>
    <row r="66" spans="1:12" ht="15.75" hidden="1">
      <c r="A66" s="73" t="s">
        <v>1832</v>
      </c>
      <c r="B66" s="39" t="s">
        <v>1833</v>
      </c>
      <c r="C66" s="74" t="s">
        <v>74</v>
      </c>
      <c r="D66" s="463" t="s">
        <v>2314</v>
      </c>
      <c r="E66" s="34">
        <v>78.97</v>
      </c>
      <c r="F66" s="191">
        <v>0.24</v>
      </c>
      <c r="G66" s="34">
        <f t="shared" si="2"/>
        <v>18.9528</v>
      </c>
      <c r="H66" s="34">
        <f>G66*'Тарифные ставки'!$B$13</f>
        <v>48.898224</v>
      </c>
      <c r="I66" s="34">
        <f>H66*'Тарифные ставки'!$B$14*'Тарифные ставки'!$B$15</f>
        <v>59.264647487999994</v>
      </c>
      <c r="J66" s="34"/>
      <c r="K66" s="525">
        <v>96.446061</v>
      </c>
      <c r="L66" s="451"/>
    </row>
    <row r="67" spans="1:12" ht="31.5" hidden="1">
      <c r="A67" s="73" t="s">
        <v>1834</v>
      </c>
      <c r="B67" s="39" t="s">
        <v>1835</v>
      </c>
      <c r="C67" s="74" t="s">
        <v>812</v>
      </c>
      <c r="D67" s="463" t="s">
        <v>2314</v>
      </c>
      <c r="E67" s="34">
        <v>78.97</v>
      </c>
      <c r="F67" s="191">
        <v>0.65</v>
      </c>
      <c r="G67" s="34">
        <f t="shared" si="2"/>
        <v>51.3305</v>
      </c>
      <c r="H67" s="34">
        <f>G67*'Тарифные ставки'!$B$13</f>
        <v>132.43269</v>
      </c>
      <c r="I67" s="34">
        <f>H67*'Тарифные ставки'!$B$14*'Тарифные ставки'!$B$15</f>
        <v>160.50842028</v>
      </c>
      <c r="J67" s="34"/>
      <c r="K67" s="525">
        <v>261.208081875</v>
      </c>
      <c r="L67" s="451"/>
    </row>
    <row r="68" spans="1:12" ht="31.5" hidden="1">
      <c r="A68" s="73" t="s">
        <v>1836</v>
      </c>
      <c r="B68" s="39" t="s">
        <v>1837</v>
      </c>
      <c r="C68" s="74" t="s">
        <v>812</v>
      </c>
      <c r="D68" s="463" t="s">
        <v>2314</v>
      </c>
      <c r="E68" s="34">
        <v>78.97</v>
      </c>
      <c r="F68" s="34">
        <v>0.49</v>
      </c>
      <c r="G68" s="34">
        <f t="shared" si="2"/>
        <v>38.695299999999996</v>
      </c>
      <c r="H68" s="34">
        <f>G68*'Тарифные ставки'!$B$13</f>
        <v>99.833874</v>
      </c>
      <c r="I68" s="34">
        <f>H68*'Тарифные ставки'!$B$14*'Тарифные ставки'!$B$15</f>
        <v>120.99865528799998</v>
      </c>
      <c r="J68" s="34"/>
      <c r="K68" s="525">
        <v>196.91070787499999</v>
      </c>
      <c r="L68" s="451"/>
    </row>
    <row r="69" spans="1:12" ht="31.5" hidden="1">
      <c r="A69" s="73" t="s">
        <v>1838</v>
      </c>
      <c r="B69" s="39" t="s">
        <v>1839</v>
      </c>
      <c r="C69" s="74" t="s">
        <v>1840</v>
      </c>
      <c r="D69" s="463" t="s">
        <v>2314</v>
      </c>
      <c r="E69" s="34">
        <v>78.97</v>
      </c>
      <c r="F69" s="191">
        <v>0.39</v>
      </c>
      <c r="G69" s="34">
        <f t="shared" si="2"/>
        <v>30.7983</v>
      </c>
      <c r="H69" s="34">
        <f>G69*'Тарифные ставки'!$B$13</f>
        <v>79.459614</v>
      </c>
      <c r="I69" s="34">
        <f>H69*'Тарифные ставки'!$B$14*'Тарифные ставки'!$B$15</f>
        <v>96.30505216799999</v>
      </c>
      <c r="J69" s="34"/>
      <c r="K69" s="525">
        <v>156.724849125</v>
      </c>
      <c r="L69" s="451"/>
    </row>
    <row r="70" spans="1:12" ht="15.75" hidden="1">
      <c r="A70" s="73" t="s">
        <v>1841</v>
      </c>
      <c r="B70" s="39" t="s">
        <v>1842</v>
      </c>
      <c r="C70" s="74" t="s">
        <v>1843</v>
      </c>
      <c r="D70" s="463" t="s">
        <v>2314</v>
      </c>
      <c r="E70" s="34">
        <v>78.97</v>
      </c>
      <c r="F70" s="34">
        <v>6.4</v>
      </c>
      <c r="G70" s="34">
        <f t="shared" si="2"/>
        <v>505.408</v>
      </c>
      <c r="H70" s="34">
        <f>G70*'Тарифные ставки'!$B$13</f>
        <v>1303.95264</v>
      </c>
      <c r="I70" s="34">
        <f>H70*'Тарифные ставки'!$B$14*'Тарифные ставки'!$B$15</f>
        <v>1580.3905996800002</v>
      </c>
      <c r="J70" s="34"/>
      <c r="K70" s="525">
        <v>2571.89496</v>
      </c>
      <c r="L70" s="451"/>
    </row>
    <row r="71" spans="1:12" ht="15.75" hidden="1">
      <c r="A71" s="73" t="s">
        <v>1844</v>
      </c>
      <c r="B71" s="39" t="s">
        <v>1845</v>
      </c>
      <c r="C71" s="74" t="s">
        <v>1846</v>
      </c>
      <c r="D71" s="463" t="s">
        <v>2314</v>
      </c>
      <c r="E71" s="34">
        <v>78.97</v>
      </c>
      <c r="F71" s="34">
        <v>2.84</v>
      </c>
      <c r="G71" s="34">
        <f t="shared" si="2"/>
        <v>224.2748</v>
      </c>
      <c r="H71" s="34">
        <f>G71*'Тарифные ставки'!$B$13</f>
        <v>578.6289840000001</v>
      </c>
      <c r="I71" s="34">
        <f>H71*'Тарифные ставки'!$B$14*'Тарифные ставки'!$B$15</f>
        <v>701.298328608</v>
      </c>
      <c r="J71" s="34"/>
      <c r="K71" s="525">
        <v>1141.2783885</v>
      </c>
      <c r="L71" s="451"/>
    </row>
    <row r="72" spans="1:12" ht="15.75" hidden="1">
      <c r="A72" s="71" t="s">
        <v>1847</v>
      </c>
      <c r="B72" s="608" t="s">
        <v>1848</v>
      </c>
      <c r="C72" s="72" t="s">
        <v>806</v>
      </c>
      <c r="D72" s="521" t="s">
        <v>2314</v>
      </c>
      <c r="E72" s="34">
        <v>78.97</v>
      </c>
      <c r="F72" s="29">
        <v>0.6</v>
      </c>
      <c r="G72" s="29">
        <f t="shared" si="2"/>
        <v>47.382</v>
      </c>
      <c r="H72" s="29">
        <f>(G72+G73)*'Тарифные ставки'!$B$13</f>
        <v>187.443192</v>
      </c>
      <c r="I72" s="29">
        <f>H72*'Тарифные ставки'!$B$14*'Тарифные ставки'!$B$15</f>
        <v>227.181148704</v>
      </c>
      <c r="J72" s="29"/>
      <c r="K72" s="525">
        <v>369.7099005</v>
      </c>
      <c r="L72" s="451"/>
    </row>
    <row r="73" spans="1:12" ht="15.75" hidden="1">
      <c r="A73" s="67"/>
      <c r="B73" s="634"/>
      <c r="C73" s="68"/>
      <c r="D73" s="528" t="s">
        <v>2314</v>
      </c>
      <c r="E73" s="29">
        <v>78.97</v>
      </c>
      <c r="F73" s="16">
        <v>0.32</v>
      </c>
      <c r="G73" s="16">
        <f t="shared" si="2"/>
        <v>25.2704</v>
      </c>
      <c r="H73" s="16"/>
      <c r="I73" s="16"/>
      <c r="J73" s="16"/>
      <c r="K73" s="525"/>
      <c r="L73" s="451"/>
    </row>
    <row r="74" spans="1:12" ht="31.5">
      <c r="A74" s="73" t="s">
        <v>1849</v>
      </c>
      <c r="B74" s="39" t="s">
        <v>1850</v>
      </c>
      <c r="C74" s="74" t="s">
        <v>1851</v>
      </c>
      <c r="D74" s="463" t="s">
        <v>2314</v>
      </c>
      <c r="E74" s="34">
        <f>'Тарифные ставки'!$B$5</f>
        <v>137.4825</v>
      </c>
      <c r="F74" s="34">
        <v>4.71</v>
      </c>
      <c r="G74" s="34">
        <f t="shared" si="2"/>
        <v>647.5425749999999</v>
      </c>
      <c r="H74" s="34">
        <f>G74*'Тарифные ставки'!$B$13</f>
        <v>1670.6598434999999</v>
      </c>
      <c r="I74" s="34">
        <f>H74*'Тарифные ставки'!$B$14*'Тарифные ставки'!$B$15</f>
        <v>2024.8397303219997</v>
      </c>
      <c r="J74" s="398">
        <f>I74-I74/'Тарифные ставки'!$B$15</f>
        <v>337.4732883869999</v>
      </c>
      <c r="K74" s="527">
        <v>1892.7539471249997</v>
      </c>
      <c r="L74" s="491">
        <f>I74/K74*100-100</f>
        <v>6.978497305348739</v>
      </c>
    </row>
    <row r="75" spans="1:12" ht="15.75">
      <c r="A75" s="73" t="s">
        <v>1852</v>
      </c>
      <c r="B75" s="39" t="s">
        <v>2470</v>
      </c>
      <c r="C75" s="74" t="s">
        <v>1851</v>
      </c>
      <c r="D75" s="463" t="s">
        <v>2314</v>
      </c>
      <c r="E75" s="34">
        <f>'Тарифные ставки'!$B$5</f>
        <v>137.4825</v>
      </c>
      <c r="F75" s="34">
        <v>5.3</v>
      </c>
      <c r="G75" s="34">
        <f t="shared" si="2"/>
        <v>728.6572499999999</v>
      </c>
      <c r="H75" s="34">
        <f>G75*'Тарифные ставки'!$B$13</f>
        <v>1879.9357049999996</v>
      </c>
      <c r="I75" s="34">
        <f>H75*'Тарифные ставки'!$B$14*'Тарифные ставки'!$B$15</f>
        <v>2278.4820744599997</v>
      </c>
      <c r="J75" s="398">
        <f>I75-I75/'Тарифные ставки'!$B$15</f>
        <v>379.7470124099998</v>
      </c>
      <c r="K75" s="527">
        <v>2129.85051375</v>
      </c>
      <c r="L75" s="491">
        <f>I75/K75*100-100</f>
        <v>6.978497305348725</v>
      </c>
    </row>
    <row r="76" spans="1:12" ht="15.75" hidden="1">
      <c r="A76" s="69" t="s">
        <v>1853</v>
      </c>
      <c r="B76" s="30" t="s">
        <v>1854</v>
      </c>
      <c r="C76" s="70" t="s">
        <v>1851</v>
      </c>
      <c r="D76" s="462" t="s">
        <v>2314</v>
      </c>
      <c r="E76" s="28">
        <v>78.97</v>
      </c>
      <c r="F76" s="28">
        <v>5.9</v>
      </c>
      <c r="G76" s="28">
        <f t="shared" si="2"/>
        <v>465.923</v>
      </c>
      <c r="H76" s="28">
        <f>G76*'Тарифные ставки'!$B$13</f>
        <v>1202.08134</v>
      </c>
      <c r="I76" s="28">
        <f>H76*'Тарифные ставки'!$B$14*'Тарифные ставки'!$B$15</f>
        <v>1456.9225840799998</v>
      </c>
      <c r="J76" s="28"/>
      <c r="K76" s="525">
        <v>2370.9656662499997</v>
      </c>
      <c r="L76" s="451"/>
    </row>
    <row r="77" spans="1:12" ht="15.75" hidden="1">
      <c r="A77" s="73" t="s">
        <v>354</v>
      </c>
      <c r="B77" s="39" t="s">
        <v>355</v>
      </c>
      <c r="C77" s="74" t="s">
        <v>1851</v>
      </c>
      <c r="D77" s="463" t="s">
        <v>2314</v>
      </c>
      <c r="E77" s="34">
        <v>78.97</v>
      </c>
      <c r="F77" s="34">
        <v>6.54</v>
      </c>
      <c r="G77" s="34">
        <f t="shared" si="2"/>
        <v>516.4638</v>
      </c>
      <c r="H77" s="34">
        <f>G77*'Тарифные ставки'!$B$13</f>
        <v>1332.476604</v>
      </c>
      <c r="I77" s="34">
        <f>H77*'Тарифные ставки'!$B$14*'Тарифные ставки'!$B$15</f>
        <v>1614.961644048</v>
      </c>
      <c r="J77" s="34"/>
      <c r="K77" s="525">
        <v>2628.15516225</v>
      </c>
      <c r="L77" s="451"/>
    </row>
    <row r="78" spans="1:12" ht="15.75" hidden="1">
      <c r="A78" s="71" t="s">
        <v>356</v>
      </c>
      <c r="B78" s="11" t="s">
        <v>357</v>
      </c>
      <c r="C78" s="72" t="s">
        <v>1851</v>
      </c>
      <c r="D78" s="523" t="s">
        <v>2314</v>
      </c>
      <c r="E78" s="29">
        <v>78.97</v>
      </c>
      <c r="F78" s="29">
        <v>7.14</v>
      </c>
      <c r="G78" s="29">
        <f t="shared" si="2"/>
        <v>563.8457999999999</v>
      </c>
      <c r="H78" s="29">
        <f>G78*'Тарифные ставки'!$B$13</f>
        <v>1454.7221639999998</v>
      </c>
      <c r="I78" s="29">
        <f>H78*'Тарифные ставки'!$B$14*'Тарифные ставки'!$B$15</f>
        <v>1763.123262768</v>
      </c>
      <c r="J78" s="29"/>
      <c r="K78" s="525">
        <v>2869.27031475</v>
      </c>
      <c r="L78" s="451"/>
    </row>
    <row r="79" spans="1:12" ht="15.75" hidden="1">
      <c r="A79" s="71" t="s">
        <v>358</v>
      </c>
      <c r="B79" s="11" t="s">
        <v>359</v>
      </c>
      <c r="C79" s="72" t="s">
        <v>223</v>
      </c>
      <c r="D79" s="523"/>
      <c r="E79" s="29"/>
      <c r="F79" s="29"/>
      <c r="G79" s="29"/>
      <c r="H79" s="29"/>
      <c r="I79" s="29"/>
      <c r="J79" s="29"/>
      <c r="K79" s="524"/>
      <c r="L79" s="368"/>
    </row>
    <row r="80" spans="1:12" ht="15.75" hidden="1">
      <c r="A80" s="67"/>
      <c r="B80" s="12" t="s">
        <v>360</v>
      </c>
      <c r="C80" s="68"/>
      <c r="D80" s="461" t="s">
        <v>2314</v>
      </c>
      <c r="E80" s="34">
        <f>'Тарифные ставки'!$B$5</f>
        <v>137.4825</v>
      </c>
      <c r="F80" s="16">
        <v>0.08</v>
      </c>
      <c r="G80" s="16">
        <f>E80*F80</f>
        <v>10.9986</v>
      </c>
      <c r="H80" s="16">
        <f>G80*'Тарифные ставки'!$B$13</f>
        <v>28.376388</v>
      </c>
      <c r="I80" s="16">
        <f>H80*'Тарифные ставки'!$B$14*'Тарифные ставки'!$B$15</f>
        <v>34.392182256</v>
      </c>
      <c r="J80" s="396">
        <f>I80-I80/'Тарифные ставки'!$B$15</f>
        <v>5.732030375999997</v>
      </c>
      <c r="K80" s="525">
        <v>32.148686999999995</v>
      </c>
      <c r="L80" s="457">
        <f>I80/K80*100-100</f>
        <v>6.978497305348739</v>
      </c>
    </row>
    <row r="81" spans="1:12" ht="15.75" hidden="1">
      <c r="A81" s="67"/>
      <c r="B81" s="14" t="s">
        <v>361</v>
      </c>
      <c r="C81" s="68"/>
      <c r="D81" s="66"/>
      <c r="E81" s="16">
        <f>'Тарифные ставки'!$B$5</f>
        <v>137.4825</v>
      </c>
      <c r="F81" s="16">
        <v>0.05</v>
      </c>
      <c r="G81" s="16">
        <f>E81*F81</f>
        <v>6.874124999999999</v>
      </c>
      <c r="H81" s="16">
        <f>G81*'Тарифные ставки'!$B$13</f>
        <v>17.7352425</v>
      </c>
      <c r="I81" s="16">
        <f>H81*'Тарифные ставки'!$B$14*'Тарифные ставки'!$B$15</f>
        <v>21.495113909999997</v>
      </c>
      <c r="J81" s="396">
        <f>I81-I81/'Тарифные ставки'!$B$15</f>
        <v>3.582518985</v>
      </c>
      <c r="K81" s="525">
        <v>20.092929375</v>
      </c>
      <c r="L81" s="457">
        <f>I81/K81*100-100</f>
        <v>6.978497305348725</v>
      </c>
    </row>
    <row r="82" spans="1:12" ht="15.75" hidden="1">
      <c r="A82" s="67"/>
      <c r="B82" s="14" t="s">
        <v>362</v>
      </c>
      <c r="C82" s="68"/>
      <c r="D82" s="66"/>
      <c r="E82" s="16">
        <f>'Тарифные ставки'!$B$5</f>
        <v>137.4825</v>
      </c>
      <c r="F82" s="16">
        <v>0.02</v>
      </c>
      <c r="G82" s="16">
        <f>E82*F82</f>
        <v>2.74965</v>
      </c>
      <c r="H82" s="16">
        <f>G82*'Тарифные ставки'!$B$13</f>
        <v>7.094097</v>
      </c>
      <c r="I82" s="16">
        <f>H82*'Тарифные ставки'!$B$14*'Тарифные ставки'!$B$15</f>
        <v>8.598045564</v>
      </c>
      <c r="J82" s="396">
        <f>I82-I82/'Тарифные ставки'!$B$15</f>
        <v>1.4330075939999993</v>
      </c>
      <c r="K82" s="525">
        <v>8.037171749999999</v>
      </c>
      <c r="L82" s="457">
        <f>I82/K82*100-100</f>
        <v>6.978497305348739</v>
      </c>
    </row>
    <row r="83" spans="1:12" ht="15.75" hidden="1">
      <c r="A83" s="69"/>
      <c r="B83" s="30" t="s">
        <v>363</v>
      </c>
      <c r="C83" s="70"/>
      <c r="D83" s="37"/>
      <c r="E83" s="28"/>
      <c r="F83" s="28"/>
      <c r="G83" s="28"/>
      <c r="H83" s="28"/>
      <c r="I83" s="28"/>
      <c r="J83" s="28"/>
      <c r="K83" s="526"/>
      <c r="L83" s="340"/>
    </row>
    <row r="84" spans="1:12" ht="15.75" hidden="1">
      <c r="A84" s="73" t="s">
        <v>364</v>
      </c>
      <c r="B84" s="39" t="s">
        <v>365</v>
      </c>
      <c r="C84" s="74" t="s">
        <v>366</v>
      </c>
      <c r="D84" s="463" t="s">
        <v>2314</v>
      </c>
      <c r="E84" s="34">
        <f>'Тарифные ставки'!$B$5</f>
        <v>137.4825</v>
      </c>
      <c r="F84" s="34">
        <v>0.2</v>
      </c>
      <c r="G84" s="34">
        <f>E84*F84</f>
        <v>27.496499999999997</v>
      </c>
      <c r="H84" s="34">
        <f>G84*'Тарифные ставки'!$B$13</f>
        <v>70.94097</v>
      </c>
      <c r="I84" s="34">
        <f>H84*'Тарифные ставки'!$B$14*'Тарифные ставки'!$B$15</f>
        <v>85.98045563999999</v>
      </c>
      <c r="J84" s="398">
        <f>I84-I84/'Тарифные ставки'!$B$15</f>
        <v>14.33007594</v>
      </c>
      <c r="K84" s="527">
        <v>80.3717175</v>
      </c>
      <c r="L84" s="491">
        <f>I84/K84*100-100</f>
        <v>6.978497305348725</v>
      </c>
    </row>
    <row r="85" spans="1:12" ht="15.75" hidden="1">
      <c r="A85" s="73" t="s">
        <v>367</v>
      </c>
      <c r="B85" s="175" t="s">
        <v>1553</v>
      </c>
      <c r="C85" s="74"/>
      <c r="D85" s="463" t="s">
        <v>2314</v>
      </c>
      <c r="E85" s="34">
        <f>'Тарифные ставки'!$B$5</f>
        <v>137.4825</v>
      </c>
      <c r="F85" s="34">
        <v>0.05</v>
      </c>
      <c r="G85" s="34">
        <f>E85*F85</f>
        <v>6.874124999999999</v>
      </c>
      <c r="H85" s="34">
        <f>G85*'Тарифные ставки'!$B$13</f>
        <v>17.7352425</v>
      </c>
      <c r="I85" s="34">
        <f>H85*'Тарифные ставки'!$B$14*'Тарифные ставки'!$B$15</f>
        <v>21.495113909999997</v>
      </c>
      <c r="J85" s="398">
        <f>I85-I85/'Тарифные ставки'!$B$15</f>
        <v>3.582518985</v>
      </c>
      <c r="K85" s="527">
        <v>20.092929375</v>
      </c>
      <c r="L85" s="491">
        <f>I85/K85*100-100</f>
        <v>6.978497305348725</v>
      </c>
    </row>
    <row r="86" spans="1:12" ht="15.75" hidden="1">
      <c r="A86" s="71" t="s">
        <v>1364</v>
      </c>
      <c r="B86" s="608" t="s">
        <v>1365</v>
      </c>
      <c r="C86" s="72" t="s">
        <v>223</v>
      </c>
      <c r="D86" s="523" t="s">
        <v>1552</v>
      </c>
      <c r="E86" s="29">
        <f>'Тарифные ставки'!$B$4</f>
        <v>148.166</v>
      </c>
      <c r="F86" s="29">
        <v>0.55</v>
      </c>
      <c r="G86" s="29">
        <f>E86*F86</f>
        <v>81.49130000000001</v>
      </c>
      <c r="H86" s="29">
        <f>G86*'Тарифные ставки'!$B$13</f>
        <v>210.24755400000004</v>
      </c>
      <c r="I86" s="29">
        <f>H86*'Тарифные ставки'!$B$14*'Тарифные ставки'!$B$15</f>
        <v>254.82003544800003</v>
      </c>
      <c r="J86" s="400">
        <f>I86-I86/'Тарифные ставки'!$B$15</f>
        <v>42.47000590799999</v>
      </c>
      <c r="K86" s="524">
        <v>237.95503875000003</v>
      </c>
      <c r="L86" s="450">
        <f>I86/K86*100-100</f>
        <v>7.087471980670543</v>
      </c>
    </row>
    <row r="87" spans="1:12" ht="15.75" hidden="1">
      <c r="A87" s="69"/>
      <c r="B87" s="609"/>
      <c r="C87" s="70"/>
      <c r="D87" s="462" t="s">
        <v>2314</v>
      </c>
      <c r="E87" s="34">
        <f>'Тарифные ставки'!$B$5</f>
        <v>137.4825</v>
      </c>
      <c r="F87" s="28">
        <v>0.6</v>
      </c>
      <c r="G87" s="28">
        <f>E87*F87</f>
        <v>82.48949999999999</v>
      </c>
      <c r="H87" s="28">
        <f>G87*'Тарифные ставки'!$B$13</f>
        <v>212.82290999999998</v>
      </c>
      <c r="I87" s="28">
        <f>H87*'Тарифные ставки'!$B$14*'Тарифные ставки'!$B$15</f>
        <v>257.94136691999995</v>
      </c>
      <c r="J87" s="399">
        <f>I87-I87/'Тарифные ставки'!$B$15</f>
        <v>42.99022781999997</v>
      </c>
      <c r="K87" s="526">
        <v>241.1151525</v>
      </c>
      <c r="L87" s="490">
        <f>I87/K87*100-100</f>
        <v>6.978497305348725</v>
      </c>
    </row>
    <row r="88" spans="1:12" ht="15.75" hidden="1">
      <c r="A88" s="73" t="s">
        <v>1366</v>
      </c>
      <c r="B88" s="39" t="s">
        <v>1348</v>
      </c>
      <c r="C88" s="74" t="s">
        <v>223</v>
      </c>
      <c r="D88" s="463" t="s">
        <v>2314</v>
      </c>
      <c r="E88" s="34">
        <f>'Тарифные ставки'!$B$5</f>
        <v>137.4825</v>
      </c>
      <c r="F88" s="34">
        <v>0.85</v>
      </c>
      <c r="G88" s="34">
        <f>E88*F88</f>
        <v>116.86012499999998</v>
      </c>
      <c r="H88" s="34">
        <f>G88*'Тарифные ставки'!$B$13</f>
        <v>301.49912249999994</v>
      </c>
      <c r="I88" s="34">
        <f>H88*'Тарифные ставки'!$B$14*'Тарифные ставки'!$B$15</f>
        <v>365.41693646999994</v>
      </c>
      <c r="J88" s="398">
        <f>I88-I88/'Тарифные ставки'!$B$15</f>
        <v>60.90282274499998</v>
      </c>
      <c r="K88" s="527">
        <v>341.579799375</v>
      </c>
      <c r="L88" s="491">
        <f>I88/K88*100-100</f>
        <v>6.978497305348725</v>
      </c>
    </row>
    <row r="89" ht="15.75" hidden="1"/>
    <row r="90" spans="1:10" ht="15.75" hidden="1">
      <c r="A90" s="604" t="s">
        <v>0</v>
      </c>
      <c r="B90" s="604"/>
      <c r="C90" s="604"/>
      <c r="D90" s="604"/>
      <c r="E90" s="604"/>
      <c r="F90" s="604"/>
      <c r="G90" s="604"/>
      <c r="H90" s="604"/>
      <c r="I90" s="604"/>
      <c r="J90" s="604">
        <f>H90*1.1*0.18</f>
        <v>0</v>
      </c>
    </row>
    <row r="91" ht="15.75" hidden="1"/>
    <row r="92" spans="1:10" ht="63" hidden="1">
      <c r="A92" s="459" t="s">
        <v>83</v>
      </c>
      <c r="B92" s="371" t="s">
        <v>82</v>
      </c>
      <c r="C92" s="371" t="s">
        <v>77</v>
      </c>
      <c r="D92" s="371" t="s">
        <v>81</v>
      </c>
      <c r="E92" s="372" t="s">
        <v>85</v>
      </c>
      <c r="F92" s="372" t="s">
        <v>78</v>
      </c>
      <c r="G92" s="372" t="s">
        <v>79</v>
      </c>
      <c r="H92" s="372" t="s">
        <v>80</v>
      </c>
      <c r="I92" s="371" t="s">
        <v>843</v>
      </c>
      <c r="J92" s="371" t="s">
        <v>2349</v>
      </c>
    </row>
    <row r="93" spans="1:10" ht="18.75" hidden="1">
      <c r="A93" s="692" t="s">
        <v>1554</v>
      </c>
      <c r="B93" s="693"/>
      <c r="C93" s="693"/>
      <c r="D93" s="693"/>
      <c r="E93" s="693"/>
      <c r="F93" s="693"/>
      <c r="G93" s="693"/>
      <c r="H93" s="693"/>
      <c r="I93" s="693"/>
      <c r="J93" s="694"/>
    </row>
    <row r="94" spans="1:12" ht="15.75" hidden="1">
      <c r="A94" s="272" t="s">
        <v>1</v>
      </c>
      <c r="B94" s="271" t="s">
        <v>2330</v>
      </c>
      <c r="C94" s="93" t="s">
        <v>1337</v>
      </c>
      <c r="D94" s="93" t="s">
        <v>2315</v>
      </c>
      <c r="E94" s="530">
        <f>'Тарифные ставки'!$B$9</f>
        <v>184.069</v>
      </c>
      <c r="F94" s="472">
        <v>1</v>
      </c>
      <c r="G94" s="472">
        <f>E94*F94</f>
        <v>184.069</v>
      </c>
      <c r="H94" s="472">
        <f>G94*'Тарифные ставки'!$B$13</f>
        <v>474.89802</v>
      </c>
      <c r="I94" s="472">
        <f>H94*'Тарифные ставки'!$B$14*'Тарифные ставки'!$B$15</f>
        <v>575.57640024</v>
      </c>
      <c r="J94" s="428">
        <f>I94-I94/'Тарифные ставки'!$B$15</f>
        <v>95.92940003999996</v>
      </c>
      <c r="K94" s="472">
        <v>630.2416875000001</v>
      </c>
      <c r="L94" s="491">
        <f aca="true" t="shared" si="3" ref="L94:L100">I94/K94*100-100</f>
        <v>-8.673702223165009</v>
      </c>
    </row>
    <row r="95" spans="1:12" ht="15.75" hidden="1">
      <c r="A95" s="272" t="s">
        <v>2</v>
      </c>
      <c r="B95" s="271" t="s">
        <v>282</v>
      </c>
      <c r="C95" s="93" t="s">
        <v>1337</v>
      </c>
      <c r="D95" s="93" t="s">
        <v>2315</v>
      </c>
      <c r="E95" s="530">
        <f>'Тарифные ставки'!$B$9</f>
        <v>184.069</v>
      </c>
      <c r="F95" s="472">
        <v>2</v>
      </c>
      <c r="G95" s="472">
        <f aca="true" t="shared" si="4" ref="G95:G100">E95*F95</f>
        <v>368.138</v>
      </c>
      <c r="H95" s="472">
        <f>G95*'Тарифные ставки'!$B$13</f>
        <v>949.79604</v>
      </c>
      <c r="I95" s="472">
        <f>H95*'Тарифные ставки'!$B$14*'Тарифные ставки'!$B$15</f>
        <v>1151.15280048</v>
      </c>
      <c r="J95" s="428">
        <f>I95-I95/'Тарифные ставки'!$B$15</f>
        <v>191.85880007999992</v>
      </c>
      <c r="K95" s="472">
        <v>1260.4833750000003</v>
      </c>
      <c r="L95" s="491">
        <f t="shared" si="3"/>
        <v>-8.673702223165009</v>
      </c>
    </row>
    <row r="96" spans="1:12" ht="15.75" hidden="1">
      <c r="A96" s="272" t="s">
        <v>3</v>
      </c>
      <c r="B96" s="271" t="s">
        <v>283</v>
      </c>
      <c r="C96" s="93" t="s">
        <v>1337</v>
      </c>
      <c r="D96" s="93" t="s">
        <v>2315</v>
      </c>
      <c r="E96" s="530">
        <f>'Тарифные ставки'!$B$9</f>
        <v>184.069</v>
      </c>
      <c r="F96" s="472">
        <v>2</v>
      </c>
      <c r="G96" s="472">
        <f t="shared" si="4"/>
        <v>368.138</v>
      </c>
      <c r="H96" s="472">
        <f>G96*'Тарифные ставки'!$B$13</f>
        <v>949.79604</v>
      </c>
      <c r="I96" s="472">
        <f>H96*'Тарифные ставки'!$B$14*'Тарифные ставки'!$B$15</f>
        <v>1151.15280048</v>
      </c>
      <c r="J96" s="428">
        <f>I96-I96/'Тарифные ставки'!$B$15</f>
        <v>191.85880007999992</v>
      </c>
      <c r="K96" s="472">
        <v>1260.4833750000003</v>
      </c>
      <c r="L96" s="491">
        <f t="shared" si="3"/>
        <v>-8.673702223165009</v>
      </c>
    </row>
    <row r="97" spans="1:12" ht="31.5" hidden="1">
      <c r="A97" s="272" t="s">
        <v>4</v>
      </c>
      <c r="B97" s="271" t="s">
        <v>284</v>
      </c>
      <c r="C97" s="93" t="s">
        <v>1337</v>
      </c>
      <c r="D97" s="93" t="s">
        <v>2315</v>
      </c>
      <c r="E97" s="530">
        <f>'Тарифные ставки'!$B$9</f>
        <v>184.069</v>
      </c>
      <c r="F97" s="472">
        <v>12</v>
      </c>
      <c r="G97" s="472">
        <f t="shared" si="4"/>
        <v>2208.828</v>
      </c>
      <c r="H97" s="472">
        <f>G97*'Тарифные ставки'!$B$13</f>
        <v>5698.77624</v>
      </c>
      <c r="I97" s="472">
        <f>H97*'Тарифные ставки'!$B$14*'Тарифные ставки'!$B$15</f>
        <v>6906.91680288</v>
      </c>
      <c r="J97" s="428">
        <f>I97-I97/'Тарифные ставки'!$B$15</f>
        <v>1151.1528004800002</v>
      </c>
      <c r="K97" s="472">
        <v>7562.900249999999</v>
      </c>
      <c r="L97" s="491">
        <f t="shared" si="3"/>
        <v>-8.673702223164952</v>
      </c>
    </row>
    <row r="98" spans="1:12" ht="31.5" hidden="1">
      <c r="A98" s="272" t="s">
        <v>5</v>
      </c>
      <c r="B98" s="271" t="s">
        <v>285</v>
      </c>
      <c r="C98" s="93" t="s">
        <v>1337</v>
      </c>
      <c r="D98" s="93" t="s">
        <v>2315</v>
      </c>
      <c r="E98" s="530">
        <f>'Тарифные ставки'!$B$9</f>
        <v>184.069</v>
      </c>
      <c r="F98" s="472">
        <v>8</v>
      </c>
      <c r="G98" s="472">
        <f t="shared" si="4"/>
        <v>1472.552</v>
      </c>
      <c r="H98" s="472">
        <f>G98*'Тарифные ставки'!$B$13</f>
        <v>3799.18416</v>
      </c>
      <c r="I98" s="472">
        <f>H98*'Тарифные ставки'!$B$14*'Тарифные ставки'!$B$15</f>
        <v>4604.61120192</v>
      </c>
      <c r="J98" s="428">
        <f>I98-I98/'Тарифные ставки'!$B$15</f>
        <v>767.4352003199997</v>
      </c>
      <c r="K98" s="472">
        <v>5041.933500000001</v>
      </c>
      <c r="L98" s="491">
        <f t="shared" si="3"/>
        <v>-8.673702223165009</v>
      </c>
    </row>
    <row r="99" spans="1:12" ht="15.75" hidden="1">
      <c r="A99" s="272" t="s">
        <v>6</v>
      </c>
      <c r="B99" s="271" t="s">
        <v>1336</v>
      </c>
      <c r="C99" s="93" t="s">
        <v>1337</v>
      </c>
      <c r="D99" s="93" t="s">
        <v>2315</v>
      </c>
      <c r="E99" s="530">
        <f>'Тарифные ставки'!$B$9</f>
        <v>184.069</v>
      </c>
      <c r="F99" s="472">
        <v>16</v>
      </c>
      <c r="G99" s="472">
        <f t="shared" si="4"/>
        <v>2945.104</v>
      </c>
      <c r="H99" s="472">
        <f>G99*'Тарифные ставки'!$B$13</f>
        <v>7598.36832</v>
      </c>
      <c r="I99" s="472">
        <f>H99*'Тарифные ставки'!$B$14*'Тарифные ставки'!$B$15</f>
        <v>9209.22240384</v>
      </c>
      <c r="J99" s="428">
        <f>I99-I99/'Тарифные ставки'!$B$15</f>
        <v>1534.8704006399994</v>
      </c>
      <c r="K99" s="472">
        <v>10083.867000000002</v>
      </c>
      <c r="L99" s="491">
        <f t="shared" si="3"/>
        <v>-8.673702223165009</v>
      </c>
    </row>
    <row r="100" spans="1:12" ht="31.5" hidden="1">
      <c r="A100" s="272" t="s">
        <v>7</v>
      </c>
      <c r="B100" s="273" t="s">
        <v>1100</v>
      </c>
      <c r="C100" s="93" t="s">
        <v>1337</v>
      </c>
      <c r="D100" s="93" t="s">
        <v>2315</v>
      </c>
      <c r="E100" s="530">
        <f>'Тарифные ставки'!$B$9</f>
        <v>184.069</v>
      </c>
      <c r="F100" s="472">
        <v>16</v>
      </c>
      <c r="G100" s="472">
        <f t="shared" si="4"/>
        <v>2945.104</v>
      </c>
      <c r="H100" s="472">
        <f>G100*'Тарифные ставки'!$B$13</f>
        <v>7598.36832</v>
      </c>
      <c r="I100" s="472">
        <f>H100*'Тарифные ставки'!$B$14*'Тарифные ставки'!$B$15</f>
        <v>9209.22240384</v>
      </c>
      <c r="J100" s="428">
        <f>I100-I100/'Тарифные ставки'!$B$15</f>
        <v>1534.8704006399994</v>
      </c>
      <c r="K100" s="472">
        <v>10083.867000000002</v>
      </c>
      <c r="L100" s="491">
        <f t="shared" si="3"/>
        <v>-8.673702223165009</v>
      </c>
    </row>
    <row r="101" spans="1:10" ht="18.75" hidden="1">
      <c r="A101" s="274"/>
      <c r="B101" s="275" t="s">
        <v>1673</v>
      </c>
      <c r="C101" s="276"/>
      <c r="D101" s="93"/>
      <c r="E101" s="101">
        <v>123.85</v>
      </c>
      <c r="F101" s="151"/>
      <c r="G101" s="151"/>
      <c r="H101" s="151"/>
      <c r="I101" s="151"/>
      <c r="J101" s="34">
        <f aca="true" t="shared" si="5" ref="J101:J108">H101*1.1*0.18</f>
        <v>0</v>
      </c>
    </row>
    <row r="102" spans="1:10" ht="15.75" hidden="1">
      <c r="A102" s="272" t="s">
        <v>8</v>
      </c>
      <c r="B102" s="271" t="s">
        <v>2330</v>
      </c>
      <c r="C102" s="93" t="s">
        <v>1337</v>
      </c>
      <c r="D102" s="93" t="s">
        <v>2315</v>
      </c>
      <c r="E102" s="101">
        <v>123.85</v>
      </c>
      <c r="F102" s="55">
        <v>1</v>
      </c>
      <c r="G102" s="55">
        <f>E102*F102</f>
        <v>123.85</v>
      </c>
      <c r="H102" s="55">
        <f>G102*'Тарифные ставки'!$B$13</f>
        <v>319.533</v>
      </c>
      <c r="I102" s="55">
        <f>H102*'Тарифные ставки'!$B$14*'Тарифные ставки'!$B$15</f>
        <v>387.273996</v>
      </c>
      <c r="J102" s="34">
        <f t="shared" si="5"/>
        <v>63.267534000000005</v>
      </c>
    </row>
    <row r="103" spans="1:10" ht="15.75" hidden="1">
      <c r="A103" s="272" t="s">
        <v>9</v>
      </c>
      <c r="B103" s="271" t="s">
        <v>282</v>
      </c>
      <c r="C103" s="93" t="s">
        <v>1337</v>
      </c>
      <c r="D103" s="93" t="s">
        <v>2315</v>
      </c>
      <c r="E103" s="101">
        <v>123.85</v>
      </c>
      <c r="F103" s="55">
        <v>4</v>
      </c>
      <c r="G103" s="55">
        <f aca="true" t="shared" si="6" ref="G103:G108">E103*F103</f>
        <v>495.4</v>
      </c>
      <c r="H103" s="55">
        <f>G103*'Тарифные ставки'!$B$13</f>
        <v>1278.132</v>
      </c>
      <c r="I103" s="55">
        <f>H103*'Тарифные ставки'!$B$14*'Тарифные ставки'!$B$15</f>
        <v>1549.095984</v>
      </c>
      <c r="J103" s="34">
        <f t="shared" si="5"/>
        <v>253.07013600000002</v>
      </c>
    </row>
    <row r="104" spans="1:10" ht="15.75" hidden="1">
      <c r="A104" s="272" t="s">
        <v>10</v>
      </c>
      <c r="B104" s="271" t="s">
        <v>283</v>
      </c>
      <c r="C104" s="93" t="s">
        <v>1337</v>
      </c>
      <c r="D104" s="93" t="s">
        <v>2315</v>
      </c>
      <c r="E104" s="101">
        <v>123.85</v>
      </c>
      <c r="F104" s="55">
        <v>4</v>
      </c>
      <c r="G104" s="55">
        <f t="shared" si="6"/>
        <v>495.4</v>
      </c>
      <c r="H104" s="55">
        <f>G104*'Тарифные ставки'!$B$13</f>
        <v>1278.132</v>
      </c>
      <c r="I104" s="55">
        <f>H104*'Тарифные ставки'!$B$14*'Тарифные ставки'!$B$15</f>
        <v>1549.095984</v>
      </c>
      <c r="J104" s="34">
        <f t="shared" si="5"/>
        <v>253.07013600000002</v>
      </c>
    </row>
    <row r="105" spans="1:10" ht="31.5" hidden="1">
      <c r="A105" s="272" t="s">
        <v>11</v>
      </c>
      <c r="B105" s="271" t="s">
        <v>284</v>
      </c>
      <c r="C105" s="93" t="s">
        <v>1337</v>
      </c>
      <c r="D105" s="93" t="s">
        <v>2315</v>
      </c>
      <c r="E105" s="101">
        <v>123.85</v>
      </c>
      <c r="F105" s="55">
        <v>24</v>
      </c>
      <c r="G105" s="55">
        <f t="shared" si="6"/>
        <v>2972.3999999999996</v>
      </c>
      <c r="H105" s="55">
        <f>G105*'Тарифные ставки'!$B$13</f>
        <v>7668.7919999999995</v>
      </c>
      <c r="I105" s="55">
        <f>H105*'Тарифные ставки'!$B$14*'Тарифные ставки'!$B$15</f>
        <v>9294.575904</v>
      </c>
      <c r="J105" s="34">
        <f t="shared" si="5"/>
        <v>1518.420816</v>
      </c>
    </row>
    <row r="106" spans="1:10" ht="31.5" hidden="1">
      <c r="A106" s="272" t="s">
        <v>12</v>
      </c>
      <c r="B106" s="271" t="s">
        <v>285</v>
      </c>
      <c r="C106" s="93" t="s">
        <v>1337</v>
      </c>
      <c r="D106" s="93" t="s">
        <v>2315</v>
      </c>
      <c r="E106" s="101">
        <v>123.85</v>
      </c>
      <c r="F106" s="55">
        <v>8</v>
      </c>
      <c r="G106" s="55">
        <f t="shared" si="6"/>
        <v>990.8</v>
      </c>
      <c r="H106" s="55">
        <f>G106*'Тарифные ставки'!$B$13</f>
        <v>2556.264</v>
      </c>
      <c r="I106" s="55">
        <f>H106*'Тарифные ставки'!$B$14*'Тарифные ставки'!$B$15</f>
        <v>3098.191968</v>
      </c>
      <c r="J106" s="34">
        <f t="shared" si="5"/>
        <v>506.14027200000004</v>
      </c>
    </row>
    <row r="107" spans="1:10" ht="15.75" hidden="1">
      <c r="A107" s="272" t="s">
        <v>13</v>
      </c>
      <c r="B107" s="271" t="s">
        <v>1336</v>
      </c>
      <c r="C107" s="93" t="s">
        <v>1337</v>
      </c>
      <c r="D107" s="93" t="s">
        <v>2315</v>
      </c>
      <c r="E107" s="101">
        <v>123.85</v>
      </c>
      <c r="F107" s="55">
        <v>16</v>
      </c>
      <c r="G107" s="55">
        <f t="shared" si="6"/>
        <v>1981.6</v>
      </c>
      <c r="H107" s="55">
        <f>G107*'Тарифные ставки'!$B$13</f>
        <v>5112.528</v>
      </c>
      <c r="I107" s="55">
        <f>H107*'Тарифные ставки'!$B$14*'Тарифные ставки'!$B$15</f>
        <v>6196.383936</v>
      </c>
      <c r="J107" s="34">
        <f t="shared" si="5"/>
        <v>1012.2805440000001</v>
      </c>
    </row>
    <row r="108" spans="1:10" ht="31.5" hidden="1">
      <c r="A108" s="272" t="s">
        <v>1007</v>
      </c>
      <c r="B108" s="273" t="s">
        <v>1100</v>
      </c>
      <c r="C108" s="93" t="s">
        <v>1337</v>
      </c>
      <c r="D108" s="93" t="s">
        <v>2315</v>
      </c>
      <c r="E108" s="101">
        <v>123.85</v>
      </c>
      <c r="F108" s="55">
        <v>32</v>
      </c>
      <c r="G108" s="55">
        <f t="shared" si="6"/>
        <v>3963.2</v>
      </c>
      <c r="H108" s="55">
        <f>G108*'Тарифные ставки'!$B$13</f>
        <v>10225.056</v>
      </c>
      <c r="I108" s="55">
        <f>H108*'Тарифные ставки'!$B$14*'Тарифные ставки'!$B$15</f>
        <v>12392.767872</v>
      </c>
      <c r="J108" s="34">
        <f t="shared" si="5"/>
        <v>2024.5610880000002</v>
      </c>
    </row>
  </sheetData>
  <sheetProtection/>
  <mergeCells count="25">
    <mergeCell ref="A90:J90"/>
    <mergeCell ref="A93:J93"/>
    <mergeCell ref="A3:J3"/>
    <mergeCell ref="A4:J4"/>
    <mergeCell ref="A43:J43"/>
    <mergeCell ref="A45:J45"/>
    <mergeCell ref="A46:J46"/>
    <mergeCell ref="B28:B29"/>
    <mergeCell ref="B30:B31"/>
    <mergeCell ref="B8:B9"/>
    <mergeCell ref="B72:B73"/>
    <mergeCell ref="B86:B87"/>
    <mergeCell ref="B35:B36"/>
    <mergeCell ref="B37:B38"/>
    <mergeCell ref="B55:B56"/>
    <mergeCell ref="B20:B21"/>
    <mergeCell ref="B22:B23"/>
    <mergeCell ref="B24:B25"/>
    <mergeCell ref="B26:B27"/>
    <mergeCell ref="B10:B11"/>
    <mergeCell ref="B12:B13"/>
    <mergeCell ref="B14:B15"/>
    <mergeCell ref="B16:B17"/>
    <mergeCell ref="B18:B19"/>
    <mergeCell ref="A1:J1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3" r:id="rId1"/>
  <rowBreaks count="2" manualBreakCount="2">
    <brk id="75" max="9" man="1"/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4"/>
  <sheetViews>
    <sheetView view="pageBreakPreview" zoomScale="75" zoomScaleSheetLayoutView="75" zoomScalePageLayoutView="0" workbookViewId="0" topLeftCell="A135">
      <selection activeCell="D180" sqref="D180"/>
    </sheetView>
  </sheetViews>
  <sheetFormatPr defaultColWidth="9.00390625" defaultRowHeight="12.75"/>
  <cols>
    <col min="1" max="1" width="8.25390625" style="3" customWidth="1"/>
    <col min="2" max="2" width="68.375" style="3" customWidth="1"/>
    <col min="3" max="3" width="10.00390625" style="3" customWidth="1"/>
    <col min="4" max="4" width="16.125" style="3" customWidth="1"/>
    <col min="5" max="5" width="10.375" style="283" customWidth="1"/>
    <col min="6" max="6" width="12.125" style="3" customWidth="1"/>
    <col min="7" max="7" width="13.125" style="3" customWidth="1"/>
    <col min="8" max="8" width="15.00390625" style="3" customWidth="1"/>
    <col min="9" max="9" width="14.875" style="3" customWidth="1"/>
    <col min="10" max="10" width="14.125" style="3" customWidth="1"/>
    <col min="11" max="11" width="12.375" style="3" customWidth="1"/>
    <col min="12" max="16384" width="9.125" style="3" customWidth="1"/>
  </cols>
  <sheetData>
    <row r="1" ht="15.75" hidden="1">
      <c r="A1" s="2" t="s">
        <v>1018</v>
      </c>
    </row>
    <row r="2" ht="15.75" hidden="1">
      <c r="A2" s="2" t="s">
        <v>1019</v>
      </c>
    </row>
    <row r="3" ht="15.75" hidden="1">
      <c r="A3" s="2" t="s">
        <v>305</v>
      </c>
    </row>
    <row r="4" ht="15.75" hidden="1">
      <c r="A4" s="2"/>
    </row>
    <row r="5" spans="1:6" ht="15.75" hidden="1">
      <c r="A5" s="3" t="s">
        <v>1606</v>
      </c>
      <c r="B5" s="6"/>
      <c r="C5" s="62"/>
      <c r="D5" s="7"/>
      <c r="E5" s="284"/>
      <c r="F5" s="113"/>
    </row>
    <row r="6" spans="2:6" ht="15.75" hidden="1">
      <c r="B6" s="6"/>
      <c r="C6" s="62"/>
      <c r="D6" s="7"/>
      <c r="E6" s="284"/>
      <c r="F6" s="113"/>
    </row>
    <row r="7" spans="1:11" ht="78.75" hidden="1">
      <c r="A7" s="8" t="s">
        <v>83</v>
      </c>
      <c r="B7" s="9" t="s">
        <v>82</v>
      </c>
      <c r="C7" s="10" t="s">
        <v>77</v>
      </c>
      <c r="D7" s="9" t="s">
        <v>81</v>
      </c>
      <c r="E7" s="285" t="s">
        <v>85</v>
      </c>
      <c r="F7" s="10" t="s">
        <v>78</v>
      </c>
      <c r="G7" s="10" t="s">
        <v>79</v>
      </c>
      <c r="H7" s="10" t="s">
        <v>80</v>
      </c>
      <c r="I7" s="10" t="s">
        <v>84</v>
      </c>
      <c r="J7" s="9" t="s">
        <v>843</v>
      </c>
      <c r="K7" s="10" t="s">
        <v>1936</v>
      </c>
    </row>
    <row r="8" spans="1:11" ht="15.75" hidden="1">
      <c r="A8" s="24" t="s">
        <v>306</v>
      </c>
      <c r="B8" s="698" t="s">
        <v>308</v>
      </c>
      <c r="C8" s="24" t="s">
        <v>810</v>
      </c>
      <c r="D8" s="228" t="s">
        <v>51</v>
      </c>
      <c r="E8" s="103">
        <v>78.97</v>
      </c>
      <c r="F8" s="48">
        <v>1.21</v>
      </c>
      <c r="G8" s="48">
        <f aca="true" t="shared" si="0" ref="G8:G53">E8*F8</f>
        <v>95.55369999999999</v>
      </c>
      <c r="H8" s="48">
        <f>(G8+G9)*3.45</f>
        <v>684.576255</v>
      </c>
      <c r="I8" s="48">
        <f>H8*1.25*1.2</f>
        <v>1026.8643825</v>
      </c>
      <c r="J8" s="48"/>
      <c r="K8" s="48">
        <f>H8*1.1*0.2</f>
        <v>150.60677610000002</v>
      </c>
    </row>
    <row r="9" spans="1:11" ht="15.75" hidden="1">
      <c r="A9" s="45"/>
      <c r="B9" s="699"/>
      <c r="C9" s="45"/>
      <c r="D9" s="233" t="s">
        <v>1101</v>
      </c>
      <c r="E9" s="105">
        <v>85.02</v>
      </c>
      <c r="F9" s="47">
        <v>1.21</v>
      </c>
      <c r="G9" s="47">
        <f t="shared" si="0"/>
        <v>102.87419999999999</v>
      </c>
      <c r="H9" s="47"/>
      <c r="I9" s="47"/>
      <c r="J9" s="47"/>
      <c r="K9" s="48">
        <f>H9*1.1*0.18</f>
        <v>0</v>
      </c>
    </row>
    <row r="10" spans="1:11" ht="15.75" hidden="1">
      <c r="A10" s="24" t="s">
        <v>307</v>
      </c>
      <c r="B10" s="698" t="s">
        <v>309</v>
      </c>
      <c r="C10" s="24" t="s">
        <v>810</v>
      </c>
      <c r="D10" s="228" t="s">
        <v>52</v>
      </c>
      <c r="E10" s="103">
        <v>78.97</v>
      </c>
      <c r="F10" s="48">
        <v>0.94</v>
      </c>
      <c r="G10" s="48">
        <f t="shared" si="0"/>
        <v>74.23179999999999</v>
      </c>
      <c r="H10" s="48">
        <f>(G10+G11)*3.45</f>
        <v>534.75276</v>
      </c>
      <c r="I10" s="48">
        <f>H10*1.25*1.2</f>
        <v>802.1291399999999</v>
      </c>
      <c r="J10" s="48"/>
      <c r="K10" s="48">
        <f>H10*1.1*0.2</f>
        <v>117.6456072</v>
      </c>
    </row>
    <row r="11" spans="1:11" ht="15.75" hidden="1">
      <c r="A11" s="45"/>
      <c r="B11" s="699"/>
      <c r="C11" s="45"/>
      <c r="D11" s="233" t="s">
        <v>1101</v>
      </c>
      <c r="E11" s="105">
        <v>85.02</v>
      </c>
      <c r="F11" s="47">
        <v>0.95</v>
      </c>
      <c r="G11" s="47">
        <f t="shared" si="0"/>
        <v>80.76899999999999</v>
      </c>
      <c r="H11" s="47"/>
      <c r="I11" s="47"/>
      <c r="J11" s="47"/>
      <c r="K11" s="48">
        <f>H11*1.1*0.18</f>
        <v>0</v>
      </c>
    </row>
    <row r="12" spans="1:11" ht="15.75" hidden="1">
      <c r="A12" s="24" t="s">
        <v>1304</v>
      </c>
      <c r="B12" s="698" t="s">
        <v>1303</v>
      </c>
      <c r="C12" s="24" t="s">
        <v>810</v>
      </c>
      <c r="D12" s="228" t="s">
        <v>52</v>
      </c>
      <c r="E12" s="103">
        <v>78.97</v>
      </c>
      <c r="F12" s="48">
        <v>1.83</v>
      </c>
      <c r="G12" s="48">
        <f t="shared" si="0"/>
        <v>144.5151</v>
      </c>
      <c r="H12" s="48">
        <f>(G12+G13)*3.45</f>
        <v>1035.350865</v>
      </c>
      <c r="I12" s="48">
        <f>H12*1.25*1.2</f>
        <v>1553.0262975000003</v>
      </c>
      <c r="J12" s="48"/>
      <c r="K12" s="48">
        <f>H12*1.1*0.2</f>
        <v>227.77719030000003</v>
      </c>
    </row>
    <row r="13" spans="1:11" ht="15.75" hidden="1">
      <c r="A13" s="45"/>
      <c r="B13" s="699"/>
      <c r="C13" s="45"/>
      <c r="D13" s="233" t="s">
        <v>1101</v>
      </c>
      <c r="E13" s="105">
        <v>85.02</v>
      </c>
      <c r="F13" s="47">
        <v>1.83</v>
      </c>
      <c r="G13" s="47">
        <f t="shared" si="0"/>
        <v>155.5866</v>
      </c>
      <c r="H13" s="47"/>
      <c r="I13" s="47"/>
      <c r="J13" s="47"/>
      <c r="K13" s="48">
        <f>H13*1.1*0.18</f>
        <v>0</v>
      </c>
    </row>
    <row r="14" spans="1:11" ht="15.75" hidden="1">
      <c r="A14" s="24" t="s">
        <v>1305</v>
      </c>
      <c r="B14" s="698" t="s">
        <v>1860</v>
      </c>
      <c r="C14" s="24" t="s">
        <v>810</v>
      </c>
      <c r="D14" s="228" t="s">
        <v>52</v>
      </c>
      <c r="E14" s="103">
        <v>78.97</v>
      </c>
      <c r="F14" s="48">
        <v>1.55</v>
      </c>
      <c r="G14" s="48">
        <f t="shared" si="0"/>
        <v>122.40350000000001</v>
      </c>
      <c r="H14" s="48">
        <f>(G14+G15)*3.45</f>
        <v>876.9365250000001</v>
      </c>
      <c r="I14" s="48">
        <f>H14*1.25*1.2</f>
        <v>1315.4047875</v>
      </c>
      <c r="J14" s="48"/>
      <c r="K14" s="48">
        <f>H14*1.1*0.2</f>
        <v>192.92603550000004</v>
      </c>
    </row>
    <row r="15" spans="1:11" ht="15.75" hidden="1">
      <c r="A15" s="45"/>
      <c r="B15" s="699"/>
      <c r="C15" s="45"/>
      <c r="D15" s="233" t="s">
        <v>1101</v>
      </c>
      <c r="E15" s="105">
        <v>85.02</v>
      </c>
      <c r="F15" s="47">
        <v>1.55</v>
      </c>
      <c r="G15" s="47">
        <f t="shared" si="0"/>
        <v>131.781</v>
      </c>
      <c r="H15" s="47"/>
      <c r="I15" s="47"/>
      <c r="J15" s="47"/>
      <c r="K15" s="48">
        <f>H15*1.1*0.18</f>
        <v>0</v>
      </c>
    </row>
    <row r="16" spans="1:11" ht="31.5" hidden="1">
      <c r="A16" s="60" t="s">
        <v>1861</v>
      </c>
      <c r="B16" s="32" t="s">
        <v>1338</v>
      </c>
      <c r="C16" s="60" t="s">
        <v>75</v>
      </c>
      <c r="D16" s="254" t="s">
        <v>1102</v>
      </c>
      <c r="E16" s="101">
        <v>78.97</v>
      </c>
      <c r="F16" s="55">
        <v>4.3</v>
      </c>
      <c r="G16" s="55">
        <f t="shared" si="0"/>
        <v>339.57099999999997</v>
      </c>
      <c r="H16" s="55">
        <f>G16*3.45</f>
        <v>1171.5199499999999</v>
      </c>
      <c r="I16" s="55">
        <f>H16*1.25*1.2</f>
        <v>1757.2799249999998</v>
      </c>
      <c r="J16" s="55"/>
      <c r="K16" s="48">
        <f>H16*1.1*0.2</f>
        <v>257.734389</v>
      </c>
    </row>
    <row r="17" spans="1:11" ht="63" hidden="1">
      <c r="A17" s="60" t="s">
        <v>1862</v>
      </c>
      <c r="B17" s="278" t="s">
        <v>538</v>
      </c>
      <c r="C17" s="60" t="s">
        <v>811</v>
      </c>
      <c r="D17" s="254" t="s">
        <v>1102</v>
      </c>
      <c r="E17" s="101">
        <v>78.97</v>
      </c>
      <c r="F17" s="55">
        <v>0.14</v>
      </c>
      <c r="G17" s="55">
        <f t="shared" si="0"/>
        <v>11.055800000000001</v>
      </c>
      <c r="H17" s="55">
        <f>G17*3.45</f>
        <v>38.14251000000001</v>
      </c>
      <c r="I17" s="55">
        <f>H17*1.25*1.2</f>
        <v>57.213765000000016</v>
      </c>
      <c r="J17" s="55"/>
      <c r="K17" s="48">
        <f>H17*1.1*0.2</f>
        <v>8.391352200000004</v>
      </c>
    </row>
    <row r="18" spans="1:11" ht="63" hidden="1">
      <c r="A18" s="93" t="s">
        <v>1864</v>
      </c>
      <c r="B18" s="32" t="s">
        <v>1863</v>
      </c>
      <c r="C18" s="60" t="s">
        <v>811</v>
      </c>
      <c r="D18" s="254" t="s">
        <v>1102</v>
      </c>
      <c r="E18" s="101">
        <v>78.97</v>
      </c>
      <c r="F18" s="55">
        <v>0.75</v>
      </c>
      <c r="G18" s="55">
        <f t="shared" si="0"/>
        <v>59.2275</v>
      </c>
      <c r="H18" s="55">
        <f>G18*3.45</f>
        <v>204.334875</v>
      </c>
      <c r="I18" s="55">
        <f>H18*1.25*1.2</f>
        <v>306.5023125</v>
      </c>
      <c r="J18" s="55"/>
      <c r="K18" s="48">
        <f>H18*1.1*0.2</f>
        <v>44.95367250000001</v>
      </c>
    </row>
    <row r="19" spans="1:11" ht="31.5" hidden="1">
      <c r="A19" s="93" t="s">
        <v>1866</v>
      </c>
      <c r="B19" s="32" t="s">
        <v>1865</v>
      </c>
      <c r="C19" s="93" t="s">
        <v>811</v>
      </c>
      <c r="D19" s="228" t="s">
        <v>52</v>
      </c>
      <c r="E19" s="103">
        <v>78.97</v>
      </c>
      <c r="F19" s="55">
        <v>0.75</v>
      </c>
      <c r="G19" s="55">
        <f t="shared" si="0"/>
        <v>59.2275</v>
      </c>
      <c r="H19" s="55">
        <f>G19*3.45</f>
        <v>204.334875</v>
      </c>
      <c r="I19" s="55">
        <f>H19*1.25*1.2</f>
        <v>306.5023125</v>
      </c>
      <c r="J19" s="55"/>
      <c r="K19" s="48">
        <f>H19*1.1*0.2</f>
        <v>44.95367250000001</v>
      </c>
    </row>
    <row r="20" spans="1:11" ht="15.75" hidden="1">
      <c r="A20" s="94" t="s">
        <v>1867</v>
      </c>
      <c r="B20" s="700" t="s">
        <v>1868</v>
      </c>
      <c r="C20" s="94" t="s">
        <v>810</v>
      </c>
      <c r="D20" s="228" t="s">
        <v>52</v>
      </c>
      <c r="E20" s="103">
        <v>78.97</v>
      </c>
      <c r="F20" s="48">
        <v>4.22</v>
      </c>
      <c r="G20" s="48">
        <f t="shared" si="0"/>
        <v>333.2534</v>
      </c>
      <c r="H20" s="48">
        <f>(G20+G21)*3.45</f>
        <v>2387.53041</v>
      </c>
      <c r="I20" s="48">
        <f>H20*1.25*1.2</f>
        <v>3581.2956149999995</v>
      </c>
      <c r="J20" s="48"/>
      <c r="K20" s="48">
        <f>H20*1.1*0.2</f>
        <v>525.2566902000001</v>
      </c>
    </row>
    <row r="21" spans="1:11" ht="15.75" hidden="1">
      <c r="A21" s="45"/>
      <c r="B21" s="701"/>
      <c r="C21" s="45"/>
      <c r="D21" s="233" t="s">
        <v>1101</v>
      </c>
      <c r="E21" s="105">
        <v>85.02</v>
      </c>
      <c r="F21" s="47">
        <f>F20</f>
        <v>4.22</v>
      </c>
      <c r="G21" s="47">
        <f t="shared" si="0"/>
        <v>358.78439999999995</v>
      </c>
      <c r="H21" s="47"/>
      <c r="I21" s="47"/>
      <c r="J21" s="47"/>
      <c r="K21" s="48">
        <f>H21*1.1*0.18</f>
        <v>0</v>
      </c>
    </row>
    <row r="22" spans="1:11" ht="15.75" hidden="1">
      <c r="A22" s="94" t="s">
        <v>1869</v>
      </c>
      <c r="B22" s="700" t="s">
        <v>1870</v>
      </c>
      <c r="C22" s="94" t="s">
        <v>810</v>
      </c>
      <c r="D22" s="228" t="s">
        <v>52</v>
      </c>
      <c r="E22" s="103">
        <v>78.97</v>
      </c>
      <c r="F22" s="48">
        <v>3.7</v>
      </c>
      <c r="G22" s="48">
        <f t="shared" si="0"/>
        <v>292.189</v>
      </c>
      <c r="H22" s="48">
        <f>(G22+G23)*3.45</f>
        <v>2093.33235</v>
      </c>
      <c r="I22" s="48">
        <f>H22*1.25*1.2</f>
        <v>3139.9985250000004</v>
      </c>
      <c r="J22" s="48"/>
      <c r="K22" s="48">
        <f>H22*1.1*0.2</f>
        <v>460.53311700000006</v>
      </c>
    </row>
    <row r="23" spans="1:11" ht="15.75" hidden="1">
      <c r="A23" s="45"/>
      <c r="B23" s="701"/>
      <c r="C23" s="45"/>
      <c r="D23" s="233" t="s">
        <v>1101</v>
      </c>
      <c r="E23" s="105">
        <v>85.02</v>
      </c>
      <c r="F23" s="47">
        <f>F22</f>
        <v>3.7</v>
      </c>
      <c r="G23" s="47">
        <f t="shared" si="0"/>
        <v>314.574</v>
      </c>
      <c r="H23" s="47"/>
      <c r="I23" s="47"/>
      <c r="J23" s="47"/>
      <c r="K23" s="48">
        <f>H23*1.1*0.18</f>
        <v>0</v>
      </c>
    </row>
    <row r="24" spans="1:11" ht="15.75" hidden="1">
      <c r="A24" s="94" t="s">
        <v>2084</v>
      </c>
      <c r="B24" s="700" t="s">
        <v>1871</v>
      </c>
      <c r="C24" s="94" t="s">
        <v>810</v>
      </c>
      <c r="D24" s="228" t="s">
        <v>52</v>
      </c>
      <c r="E24" s="103">
        <v>78.97</v>
      </c>
      <c r="F24" s="48">
        <v>5.12</v>
      </c>
      <c r="G24" s="48">
        <f t="shared" si="0"/>
        <v>404.3264</v>
      </c>
      <c r="H24" s="48">
        <f>(G24+G25)*3.45</f>
        <v>2896.71936</v>
      </c>
      <c r="I24" s="48">
        <f>H24*1.25*1.2</f>
        <v>4345.07904</v>
      </c>
      <c r="J24" s="48"/>
      <c r="K24" s="48">
        <f>H24*1.1*0.2</f>
        <v>637.2782592000001</v>
      </c>
    </row>
    <row r="25" spans="1:11" ht="15.75" hidden="1">
      <c r="A25" s="45"/>
      <c r="B25" s="701"/>
      <c r="C25" s="45"/>
      <c r="D25" s="233" t="s">
        <v>1101</v>
      </c>
      <c r="E25" s="105">
        <v>85.02</v>
      </c>
      <c r="F25" s="47">
        <f>F24</f>
        <v>5.12</v>
      </c>
      <c r="G25" s="47">
        <f t="shared" si="0"/>
        <v>435.3024</v>
      </c>
      <c r="H25" s="47"/>
      <c r="I25" s="47"/>
      <c r="J25" s="47"/>
      <c r="K25" s="48">
        <f>H25*1.1*0.18</f>
        <v>0</v>
      </c>
    </row>
    <row r="26" spans="1:11" ht="15.75" hidden="1">
      <c r="A26" s="24" t="s">
        <v>330</v>
      </c>
      <c r="B26" s="700" t="s">
        <v>329</v>
      </c>
      <c r="C26" s="24" t="s">
        <v>810</v>
      </c>
      <c r="D26" s="228" t="s">
        <v>52</v>
      </c>
      <c r="E26" s="103">
        <v>78.97</v>
      </c>
      <c r="F26" s="48">
        <v>4.48</v>
      </c>
      <c r="G26" s="48">
        <f t="shared" si="0"/>
        <v>353.78560000000004</v>
      </c>
      <c r="H26" s="48">
        <f>(G26+G27)*3.45</f>
        <v>2534.6294400000006</v>
      </c>
      <c r="I26" s="48">
        <f>H26*1.25*1.2</f>
        <v>3801.944160000001</v>
      </c>
      <c r="J26" s="48"/>
      <c r="K26" s="48">
        <f>H26*1.1*0.2</f>
        <v>557.6184768000002</v>
      </c>
    </row>
    <row r="27" spans="1:11" ht="15.75" hidden="1">
      <c r="A27" s="45"/>
      <c r="B27" s="701"/>
      <c r="C27" s="45"/>
      <c r="D27" s="233" t="s">
        <v>1101</v>
      </c>
      <c r="E27" s="105">
        <v>85.02</v>
      </c>
      <c r="F27" s="47">
        <f>F26</f>
        <v>4.48</v>
      </c>
      <c r="G27" s="47">
        <f t="shared" si="0"/>
        <v>380.88960000000003</v>
      </c>
      <c r="H27" s="47"/>
      <c r="I27" s="47"/>
      <c r="J27" s="47"/>
      <c r="K27" s="48">
        <f>H27*1.1*0.18</f>
        <v>0</v>
      </c>
    </row>
    <row r="28" spans="1:11" ht="15.75" hidden="1">
      <c r="A28" s="24" t="s">
        <v>331</v>
      </c>
      <c r="B28" s="700" t="s">
        <v>1349</v>
      </c>
      <c r="C28" s="24" t="s">
        <v>1559</v>
      </c>
      <c r="D28" s="228" t="s">
        <v>52</v>
      </c>
      <c r="E28" s="103">
        <v>78.97</v>
      </c>
      <c r="F28" s="48">
        <v>3</v>
      </c>
      <c r="G28" s="48">
        <f t="shared" si="0"/>
        <v>236.91</v>
      </c>
      <c r="H28" s="48">
        <f>(G28+G29)*3.45</f>
        <v>1697.2965000000002</v>
      </c>
      <c r="I28" s="48">
        <f>H28*1.25*1.2</f>
        <v>2545.94475</v>
      </c>
      <c r="J28" s="48"/>
      <c r="K28" s="48">
        <f>H28*1.1*0.2</f>
        <v>373.4052300000001</v>
      </c>
    </row>
    <row r="29" spans="1:11" ht="15.75" hidden="1">
      <c r="A29" s="45"/>
      <c r="B29" s="701"/>
      <c r="C29" s="45"/>
      <c r="D29" s="233" t="s">
        <v>1101</v>
      </c>
      <c r="E29" s="105">
        <v>85.02</v>
      </c>
      <c r="F29" s="47">
        <f>F28</f>
        <v>3</v>
      </c>
      <c r="G29" s="47">
        <f t="shared" si="0"/>
        <v>255.06</v>
      </c>
      <c r="H29" s="47"/>
      <c r="I29" s="47"/>
      <c r="J29" s="47"/>
      <c r="K29" s="48">
        <f>H29*1.1*0.18</f>
        <v>0</v>
      </c>
    </row>
    <row r="30" spans="1:11" ht="47.25" hidden="1">
      <c r="A30" s="60"/>
      <c r="B30" s="278" t="s">
        <v>539</v>
      </c>
      <c r="C30" s="60" t="s">
        <v>811</v>
      </c>
      <c r="D30" s="233" t="s">
        <v>1103</v>
      </c>
      <c r="E30" s="101">
        <v>78.97</v>
      </c>
      <c r="F30" s="55">
        <v>0.3</v>
      </c>
      <c r="G30" s="55">
        <f t="shared" si="0"/>
        <v>23.691</v>
      </c>
      <c r="H30" s="55">
        <f>G30*3.45</f>
        <v>81.73395000000001</v>
      </c>
      <c r="I30" s="55">
        <f>H30*1.25*1.2</f>
        <v>122.600925</v>
      </c>
      <c r="J30" s="55"/>
      <c r="K30" s="48">
        <f>H30*1.1*0.2</f>
        <v>17.981469000000004</v>
      </c>
    </row>
    <row r="31" spans="1:11" ht="15.75" hidden="1">
      <c r="A31" s="24" t="s">
        <v>320</v>
      </c>
      <c r="B31" s="670" t="s">
        <v>2187</v>
      </c>
      <c r="C31" s="94" t="s">
        <v>660</v>
      </c>
      <c r="D31" s="228" t="s">
        <v>52</v>
      </c>
      <c r="E31" s="103">
        <v>78.97</v>
      </c>
      <c r="F31" s="48">
        <v>0.86</v>
      </c>
      <c r="G31" s="48">
        <f t="shared" si="0"/>
        <v>67.9142</v>
      </c>
      <c r="H31" s="48">
        <f>(G31+G32)*3.45</f>
        <v>489.49152</v>
      </c>
      <c r="I31" s="48">
        <f>H31*1.25*1.2</f>
        <v>734.2372799999999</v>
      </c>
      <c r="J31" s="48"/>
      <c r="K31" s="48">
        <f>H31*1.1*0.2</f>
        <v>107.68813440000002</v>
      </c>
    </row>
    <row r="32" spans="1:11" ht="15.75" hidden="1">
      <c r="A32" s="45"/>
      <c r="B32" s="702"/>
      <c r="C32" s="45"/>
      <c r="D32" s="233" t="s">
        <v>1101</v>
      </c>
      <c r="E32" s="105">
        <v>85.02</v>
      </c>
      <c r="F32" s="47">
        <v>0.87</v>
      </c>
      <c r="G32" s="47">
        <f t="shared" si="0"/>
        <v>73.9674</v>
      </c>
      <c r="H32" s="47"/>
      <c r="I32" s="47"/>
      <c r="J32" s="47"/>
      <c r="K32" s="48">
        <f>H32*1.1*0.18</f>
        <v>0</v>
      </c>
    </row>
    <row r="33" spans="1:11" ht="15.75" hidden="1">
      <c r="A33" s="24" t="s">
        <v>321</v>
      </c>
      <c r="B33" s="670" t="s">
        <v>322</v>
      </c>
      <c r="C33" s="94" t="s">
        <v>810</v>
      </c>
      <c r="D33" s="228" t="s">
        <v>52</v>
      </c>
      <c r="E33" s="103">
        <v>78.97</v>
      </c>
      <c r="F33" s="48">
        <v>1.86</v>
      </c>
      <c r="G33" s="48">
        <f t="shared" si="0"/>
        <v>146.8842</v>
      </c>
      <c r="H33" s="48">
        <f>(G33+G34)*3.45</f>
        <v>1055.25702</v>
      </c>
      <c r="I33" s="48">
        <f>H33*1.25*1.2</f>
        <v>1582.88553</v>
      </c>
      <c r="J33" s="48"/>
      <c r="K33" s="48">
        <f>H33*1.1*0.2</f>
        <v>232.15654440000003</v>
      </c>
    </row>
    <row r="34" spans="1:11" ht="15.75" hidden="1">
      <c r="A34" s="45"/>
      <c r="B34" s="702"/>
      <c r="C34" s="45"/>
      <c r="D34" s="233" t="s">
        <v>1101</v>
      </c>
      <c r="E34" s="105">
        <v>85.02</v>
      </c>
      <c r="F34" s="47">
        <v>1.87</v>
      </c>
      <c r="G34" s="47">
        <f t="shared" si="0"/>
        <v>158.9874</v>
      </c>
      <c r="H34" s="47"/>
      <c r="I34" s="47"/>
      <c r="J34" s="47"/>
      <c r="K34" s="48">
        <f>H34*1.1*0.18</f>
        <v>0</v>
      </c>
    </row>
    <row r="35" spans="1:11" ht="15.75" hidden="1">
      <c r="A35" s="24" t="s">
        <v>1339</v>
      </c>
      <c r="B35" s="670" t="s">
        <v>323</v>
      </c>
      <c r="C35" s="94" t="s">
        <v>810</v>
      </c>
      <c r="D35" s="228" t="s">
        <v>52</v>
      </c>
      <c r="E35" s="103">
        <v>78.97</v>
      </c>
      <c r="F35" s="48">
        <v>1.43</v>
      </c>
      <c r="G35" s="48">
        <f t="shared" si="0"/>
        <v>112.9271</v>
      </c>
      <c r="H35" s="48">
        <f>(G35+G36)*3.45</f>
        <v>811.977855</v>
      </c>
      <c r="I35" s="48">
        <f>H35*1.25*1.2</f>
        <v>1217.9667825</v>
      </c>
      <c r="J35" s="48"/>
      <c r="K35" s="48">
        <f>H35*1.1*0.2</f>
        <v>178.63512810000003</v>
      </c>
    </row>
    <row r="36" spans="1:11" ht="15.75" hidden="1">
      <c r="A36" s="45"/>
      <c r="B36" s="702"/>
      <c r="C36" s="45"/>
      <c r="D36" s="233" t="s">
        <v>1101</v>
      </c>
      <c r="E36" s="105">
        <v>85.02</v>
      </c>
      <c r="F36" s="47">
        <v>1.44</v>
      </c>
      <c r="G36" s="47">
        <f t="shared" si="0"/>
        <v>122.4288</v>
      </c>
      <c r="H36" s="47"/>
      <c r="I36" s="47"/>
      <c r="J36" s="47"/>
      <c r="K36" s="48">
        <f>H36*1.1*0.18</f>
        <v>0</v>
      </c>
    </row>
    <row r="37" spans="1:11" ht="15.75" hidden="1">
      <c r="A37" s="13" t="s">
        <v>1340</v>
      </c>
      <c r="B37" s="663" t="s">
        <v>1341</v>
      </c>
      <c r="C37" s="3" t="s">
        <v>810</v>
      </c>
      <c r="D37" s="228" t="s">
        <v>52</v>
      </c>
      <c r="E37" s="103">
        <v>78.97</v>
      </c>
      <c r="F37" s="48">
        <v>12.92</v>
      </c>
      <c r="G37" s="48">
        <f t="shared" si="0"/>
        <v>1020.2923999999999</v>
      </c>
      <c r="H37" s="48">
        <f>(G37+G38)*3.45</f>
        <v>8412.5697</v>
      </c>
      <c r="I37" s="48">
        <f>H37*1.25*1.2</f>
        <v>12618.85455</v>
      </c>
      <c r="J37" s="48"/>
      <c r="K37" s="48">
        <f>H37*1.1*0.2</f>
        <v>1850.7653340000002</v>
      </c>
    </row>
    <row r="38" spans="1:11" ht="15.75" hidden="1">
      <c r="A38" s="13"/>
      <c r="B38" s="663"/>
      <c r="D38" s="233" t="s">
        <v>1101</v>
      </c>
      <c r="E38" s="105">
        <v>85.02</v>
      </c>
      <c r="F38" s="47">
        <v>16.68</v>
      </c>
      <c r="G38" s="47">
        <f t="shared" si="0"/>
        <v>1418.1336</v>
      </c>
      <c r="H38" s="47"/>
      <c r="I38" s="47"/>
      <c r="J38" s="47"/>
      <c r="K38" s="48">
        <f>H38*1.1*0.18</f>
        <v>0</v>
      </c>
    </row>
    <row r="39" spans="1:11" ht="15.75" hidden="1">
      <c r="A39" s="24" t="s">
        <v>1343</v>
      </c>
      <c r="B39" s="670" t="s">
        <v>1342</v>
      </c>
      <c r="C39" s="24" t="s">
        <v>810</v>
      </c>
      <c r="D39" s="228" t="s">
        <v>52</v>
      </c>
      <c r="E39" s="103">
        <v>78.97</v>
      </c>
      <c r="F39" s="48">
        <v>2.1</v>
      </c>
      <c r="G39" s="48">
        <f t="shared" si="0"/>
        <v>165.83700000000002</v>
      </c>
      <c r="H39" s="48">
        <f>(G39+G40)*3.45</f>
        <v>1188.1075500000002</v>
      </c>
      <c r="I39" s="48">
        <f>H39*1.25*1.2</f>
        <v>1782.1613250000003</v>
      </c>
      <c r="J39" s="48"/>
      <c r="K39" s="48">
        <f>H39*1.1*0.2</f>
        <v>261.3836610000001</v>
      </c>
    </row>
    <row r="40" spans="1:11" ht="15.75" hidden="1">
      <c r="A40" s="45"/>
      <c r="B40" s="702"/>
      <c r="C40" s="45"/>
      <c r="D40" s="233" t="s">
        <v>1101</v>
      </c>
      <c r="E40" s="105">
        <v>85.02</v>
      </c>
      <c r="F40" s="47">
        <v>2.1</v>
      </c>
      <c r="G40" s="47">
        <f t="shared" si="0"/>
        <v>178.542</v>
      </c>
      <c r="H40" s="47"/>
      <c r="I40" s="47"/>
      <c r="J40" s="47"/>
      <c r="K40" s="48">
        <f>H40*1.1*0.18</f>
        <v>0</v>
      </c>
    </row>
    <row r="41" spans="1:11" ht="47.25" hidden="1">
      <c r="A41" s="136" t="s">
        <v>1344</v>
      </c>
      <c r="B41" s="152" t="s">
        <v>1008</v>
      </c>
      <c r="C41" s="60" t="s">
        <v>75</v>
      </c>
      <c r="D41" s="254" t="s">
        <v>1102</v>
      </c>
      <c r="E41" s="101">
        <v>78.97</v>
      </c>
      <c r="F41" s="101">
        <v>2.3</v>
      </c>
      <c r="G41" s="101">
        <f t="shared" si="0"/>
        <v>181.63099999999997</v>
      </c>
      <c r="H41" s="102">
        <f>G41*3.45</f>
        <v>626.62695</v>
      </c>
      <c r="I41" s="102">
        <f>H41*1.25*1.2</f>
        <v>939.9404249999999</v>
      </c>
      <c r="J41" s="60"/>
      <c r="K41" s="48">
        <f>H41*1.1*0.2</f>
        <v>137.857929</v>
      </c>
    </row>
    <row r="42" spans="1:11" ht="15.75" hidden="1">
      <c r="A42" s="94" t="s">
        <v>1345</v>
      </c>
      <c r="B42" s="703" t="s">
        <v>226</v>
      </c>
      <c r="C42" s="94" t="s">
        <v>75</v>
      </c>
      <c r="D42" s="228" t="s">
        <v>1103</v>
      </c>
      <c r="E42" s="103">
        <v>78.97</v>
      </c>
      <c r="F42" s="48">
        <v>2</v>
      </c>
      <c r="G42" s="48">
        <f t="shared" si="0"/>
        <v>157.94</v>
      </c>
      <c r="H42" s="48">
        <f>(G42+G43)*3.45</f>
        <v>1131.5310000000002</v>
      </c>
      <c r="I42" s="48">
        <f>H42*1.25*1.2</f>
        <v>1697.2965000000002</v>
      </c>
      <c r="J42" s="48"/>
      <c r="K42" s="48">
        <f>H42*1.1*0.2</f>
        <v>248.9368200000001</v>
      </c>
    </row>
    <row r="43" spans="1:11" ht="15.75" hidden="1">
      <c r="A43" s="45"/>
      <c r="B43" s="704"/>
      <c r="C43" s="45"/>
      <c r="D43" s="233" t="s">
        <v>1101</v>
      </c>
      <c r="E43" s="105">
        <v>85.02</v>
      </c>
      <c r="F43" s="47">
        <v>2</v>
      </c>
      <c r="G43" s="47">
        <f t="shared" si="0"/>
        <v>170.04</v>
      </c>
      <c r="H43" s="47"/>
      <c r="I43" s="47"/>
      <c r="J43" s="47"/>
      <c r="K43" s="48">
        <f>H43*1.1*0.18</f>
        <v>0</v>
      </c>
    </row>
    <row r="44" spans="1:11" ht="31.5" hidden="1">
      <c r="A44" s="94" t="s">
        <v>715</v>
      </c>
      <c r="B44" s="153" t="s">
        <v>227</v>
      </c>
      <c r="C44" s="173" t="s">
        <v>812</v>
      </c>
      <c r="D44" s="228" t="s">
        <v>52</v>
      </c>
      <c r="E44" s="103">
        <v>78.97</v>
      </c>
      <c r="F44" s="48">
        <v>0.35</v>
      </c>
      <c r="G44" s="48">
        <f t="shared" si="0"/>
        <v>27.639499999999998</v>
      </c>
      <c r="H44" s="48">
        <f>(G44+G45)*3.45</f>
        <v>198.017925</v>
      </c>
      <c r="I44" s="48">
        <f>H44*1.25*1.2</f>
        <v>297.0268875</v>
      </c>
      <c r="J44" s="48"/>
      <c r="K44" s="48">
        <f>H44*1.1*0.2</f>
        <v>43.5639435</v>
      </c>
    </row>
    <row r="45" spans="1:11" ht="15.75" hidden="1">
      <c r="A45" s="13"/>
      <c r="B45" s="155"/>
      <c r="C45" s="215"/>
      <c r="D45" s="237" t="s">
        <v>1101</v>
      </c>
      <c r="E45" s="105">
        <v>85.02</v>
      </c>
      <c r="F45" s="262">
        <v>0.35</v>
      </c>
      <c r="G45" s="44">
        <f t="shared" si="0"/>
        <v>29.756999999999998</v>
      </c>
      <c r="H45" s="44"/>
      <c r="I45" s="44"/>
      <c r="J45" s="44"/>
      <c r="K45" s="48">
        <f>H45*1.1*0.18</f>
        <v>0</v>
      </c>
    </row>
    <row r="46" spans="1:11" ht="15.75" hidden="1">
      <c r="A46" s="13"/>
      <c r="B46" s="156" t="s">
        <v>1061</v>
      </c>
      <c r="C46" s="215"/>
      <c r="D46" s="237" t="s">
        <v>52</v>
      </c>
      <c r="E46" s="103">
        <v>78.97</v>
      </c>
      <c r="F46" s="44">
        <v>0.4</v>
      </c>
      <c r="G46" s="44">
        <f t="shared" si="0"/>
        <v>31.588</v>
      </c>
      <c r="H46" s="44">
        <f>(G46+G47)*3.45</f>
        <v>226.30620000000002</v>
      </c>
      <c r="I46" s="44">
        <f>H46*1.25*1.2</f>
        <v>339.45930000000004</v>
      </c>
      <c r="J46" s="44"/>
      <c r="K46" s="48">
        <f>H46*1.1*0.2</f>
        <v>49.78736400000001</v>
      </c>
    </row>
    <row r="47" spans="1:11" ht="15.75" hidden="1">
      <c r="A47" s="45"/>
      <c r="B47" s="157"/>
      <c r="C47" s="218"/>
      <c r="D47" s="233" t="s">
        <v>1101</v>
      </c>
      <c r="E47" s="105">
        <v>85.02</v>
      </c>
      <c r="F47" s="47">
        <v>0.4</v>
      </c>
      <c r="G47" s="47">
        <f t="shared" si="0"/>
        <v>34.008</v>
      </c>
      <c r="H47" s="47"/>
      <c r="I47" s="47"/>
      <c r="J47" s="47"/>
      <c r="K47" s="48">
        <f>H47*1.1*0.18</f>
        <v>0</v>
      </c>
    </row>
    <row r="48" spans="1:11" ht="31.5" hidden="1">
      <c r="A48" s="24" t="s">
        <v>328</v>
      </c>
      <c r="B48" s="153" t="s">
        <v>1062</v>
      </c>
      <c r="C48" s="217" t="s">
        <v>182</v>
      </c>
      <c r="D48" s="228" t="s">
        <v>52</v>
      </c>
      <c r="E48" s="103">
        <v>78.97</v>
      </c>
      <c r="F48" s="48">
        <v>0.39</v>
      </c>
      <c r="G48" s="48">
        <f t="shared" si="0"/>
        <v>30.7983</v>
      </c>
      <c r="H48" s="48">
        <f>(G48+G49)*3.45</f>
        <v>223.58173500000004</v>
      </c>
      <c r="I48" s="48">
        <f>H48*1.25*1.2</f>
        <v>335.3726025</v>
      </c>
      <c r="J48" s="48"/>
      <c r="K48" s="48">
        <f>H48*1.1*0.2</f>
        <v>49.187981700000016</v>
      </c>
    </row>
    <row r="49" spans="1:11" ht="15.75" hidden="1">
      <c r="A49" s="13"/>
      <c r="B49" s="43"/>
      <c r="C49" s="215"/>
      <c r="D49" s="237" t="s">
        <v>1101</v>
      </c>
      <c r="E49" s="105">
        <v>85.02</v>
      </c>
      <c r="F49" s="262">
        <v>0.4</v>
      </c>
      <c r="G49" s="44">
        <f t="shared" si="0"/>
        <v>34.008</v>
      </c>
      <c r="H49" s="44"/>
      <c r="I49" s="44"/>
      <c r="J49" s="44"/>
      <c r="K49" s="48">
        <f>H49*1.1*0.18</f>
        <v>0</v>
      </c>
    </row>
    <row r="50" spans="1:11" ht="15.75" hidden="1">
      <c r="A50" s="13"/>
      <c r="B50" s="158" t="s">
        <v>798</v>
      </c>
      <c r="C50" s="215"/>
      <c r="D50" s="237" t="s">
        <v>52</v>
      </c>
      <c r="E50" s="103">
        <v>78.97</v>
      </c>
      <c r="F50" s="44">
        <v>0.43</v>
      </c>
      <c r="G50" s="44">
        <f t="shared" si="0"/>
        <v>33.9571</v>
      </c>
      <c r="H50" s="44">
        <f>(G50+G51)*3.45</f>
        <v>246.212355</v>
      </c>
      <c r="I50" s="44">
        <f>H50*1.25*1.2</f>
        <v>369.3185325</v>
      </c>
      <c r="J50" s="44"/>
      <c r="K50" s="48">
        <f>H50*1.1*0.2</f>
        <v>54.166718100000004</v>
      </c>
    </row>
    <row r="51" spans="1:11" ht="15.75" hidden="1">
      <c r="A51" s="13"/>
      <c r="B51" s="158"/>
      <c r="C51" s="215"/>
      <c r="D51" s="237" t="s">
        <v>1101</v>
      </c>
      <c r="E51" s="105">
        <v>85.02</v>
      </c>
      <c r="F51" s="44">
        <v>0.44</v>
      </c>
      <c r="G51" s="44">
        <f t="shared" si="0"/>
        <v>37.4088</v>
      </c>
      <c r="H51" s="44"/>
      <c r="I51" s="44"/>
      <c r="J51" s="44"/>
      <c r="K51" s="48">
        <f>H51*1.1*0.18</f>
        <v>0</v>
      </c>
    </row>
    <row r="52" spans="1:11" ht="15.75" hidden="1">
      <c r="A52" s="13"/>
      <c r="B52" s="158" t="s">
        <v>1242</v>
      </c>
      <c r="C52" s="215"/>
      <c r="D52" s="237" t="s">
        <v>52</v>
      </c>
      <c r="E52" s="103">
        <v>78.97</v>
      </c>
      <c r="F52" s="44">
        <v>0.47</v>
      </c>
      <c r="G52" s="44">
        <f t="shared" si="0"/>
        <v>37.115899999999996</v>
      </c>
      <c r="H52" s="44">
        <f>(G52+G53)*3.45</f>
        <v>265.909785</v>
      </c>
      <c r="I52" s="44">
        <f>H52*1.25*1.2</f>
        <v>398.8646775</v>
      </c>
      <c r="J52" s="44"/>
      <c r="K52" s="48">
        <f>H52*1.1*0.2</f>
        <v>58.5001527</v>
      </c>
    </row>
    <row r="53" spans="1:11" ht="15.75" hidden="1">
      <c r="A53" s="45"/>
      <c r="B53" s="38"/>
      <c r="C53" s="218"/>
      <c r="D53" s="237" t="s">
        <v>1101</v>
      </c>
      <c r="E53" s="105">
        <v>85.02</v>
      </c>
      <c r="F53" s="47">
        <v>0.47</v>
      </c>
      <c r="G53" s="47">
        <f t="shared" si="0"/>
        <v>39.959399999999995</v>
      </c>
      <c r="H53" s="47"/>
      <c r="I53" s="47"/>
      <c r="J53" s="47"/>
      <c r="K53" s="48">
        <f>H53*1.1*0.18</f>
        <v>0</v>
      </c>
    </row>
    <row r="54" spans="1:11" ht="15.75" hidden="1">
      <c r="A54" s="24" t="s">
        <v>1009</v>
      </c>
      <c r="B54" s="159" t="s">
        <v>1063</v>
      </c>
      <c r="C54" s="24" t="s">
        <v>76</v>
      </c>
      <c r="D54" s="24"/>
      <c r="E54" s="94"/>
      <c r="F54" s="24"/>
      <c r="G54" s="24"/>
      <c r="H54" s="24"/>
      <c r="I54" s="24"/>
      <c r="J54" s="24"/>
      <c r="K54" s="48">
        <f>H54*1.1*0.18</f>
        <v>0</v>
      </c>
    </row>
    <row r="55" spans="1:11" ht="15.75" hidden="1">
      <c r="A55" s="13"/>
      <c r="B55" s="160" t="s">
        <v>1064</v>
      </c>
      <c r="C55" s="13"/>
      <c r="D55" s="237" t="s">
        <v>52</v>
      </c>
      <c r="E55" s="103">
        <v>78.97</v>
      </c>
      <c r="F55" s="44">
        <v>2.11</v>
      </c>
      <c r="G55" s="44">
        <f aca="true" t="shared" si="1" ref="G55:G66">E55*F55</f>
        <v>166.6267</v>
      </c>
      <c r="H55" s="44">
        <f>(G55+G56)*3.45</f>
        <v>1193.765205</v>
      </c>
      <c r="I55" s="44">
        <f>H55*1.25*1.2</f>
        <v>1790.6478074999998</v>
      </c>
      <c r="J55" s="44"/>
      <c r="K55" s="48">
        <f>H55*1.1*0.2</f>
        <v>262.62834510000005</v>
      </c>
    </row>
    <row r="56" spans="1:11" ht="15.75" hidden="1">
      <c r="A56" s="13"/>
      <c r="B56" s="43"/>
      <c r="C56" s="13"/>
      <c r="D56" s="237" t="s">
        <v>1101</v>
      </c>
      <c r="E56" s="105">
        <v>85.02</v>
      </c>
      <c r="F56" s="44">
        <v>2.11</v>
      </c>
      <c r="G56" s="44">
        <f t="shared" si="1"/>
        <v>179.39219999999997</v>
      </c>
      <c r="H56" s="44"/>
      <c r="I56" s="44"/>
      <c r="J56" s="44"/>
      <c r="K56" s="48">
        <f>H56*1.1*0.18</f>
        <v>0</v>
      </c>
    </row>
    <row r="57" spans="1:11" ht="15.75" hidden="1">
      <c r="A57" s="13"/>
      <c r="B57" s="160" t="s">
        <v>1065</v>
      </c>
      <c r="C57" s="13"/>
      <c r="D57" s="237" t="s">
        <v>52</v>
      </c>
      <c r="E57" s="103">
        <v>78.97</v>
      </c>
      <c r="F57" s="44">
        <v>2.34</v>
      </c>
      <c r="G57" s="44">
        <f t="shared" si="1"/>
        <v>184.78979999999999</v>
      </c>
      <c r="H57" s="44">
        <f>(G57+G58)*3.45</f>
        <v>1326.82446</v>
      </c>
      <c r="I57" s="44">
        <f>H57*1.25*1.2</f>
        <v>1990.23669</v>
      </c>
      <c r="J57" s="44"/>
      <c r="K57" s="48">
        <f>H57*1.1*0.2</f>
        <v>291.9013812</v>
      </c>
    </row>
    <row r="58" spans="1:11" ht="15.75" hidden="1">
      <c r="A58" s="13"/>
      <c r="B58" s="43"/>
      <c r="C58" s="13"/>
      <c r="D58" s="237" t="s">
        <v>1101</v>
      </c>
      <c r="E58" s="105">
        <v>85.02</v>
      </c>
      <c r="F58" s="44">
        <v>2.35</v>
      </c>
      <c r="G58" s="44">
        <f t="shared" si="1"/>
        <v>199.797</v>
      </c>
      <c r="H58" s="44"/>
      <c r="I58" s="44"/>
      <c r="J58" s="44"/>
      <c r="K58" s="48">
        <f>H58*1.1*0.18</f>
        <v>0</v>
      </c>
    </row>
    <row r="59" spans="1:11" ht="15.75" hidden="1">
      <c r="A59" s="13"/>
      <c r="B59" s="160" t="s">
        <v>1066</v>
      </c>
      <c r="C59" s="13"/>
      <c r="D59" s="237" t="s">
        <v>52</v>
      </c>
      <c r="E59" s="103">
        <v>78.97</v>
      </c>
      <c r="F59" s="44">
        <v>3.66</v>
      </c>
      <c r="G59" s="44">
        <f t="shared" si="1"/>
        <v>289.0302</v>
      </c>
      <c r="H59" s="44">
        <f>(G59+G60)*3.45</f>
        <v>2070.70173</v>
      </c>
      <c r="I59" s="44">
        <f>H59*1.25*1.2</f>
        <v>3106.0525950000006</v>
      </c>
      <c r="J59" s="44"/>
      <c r="K59" s="48">
        <f>H59*1.1*0.2</f>
        <v>455.55438060000006</v>
      </c>
    </row>
    <row r="60" spans="1:11" ht="15.75" hidden="1">
      <c r="A60" s="13"/>
      <c r="B60" s="160"/>
      <c r="C60" s="13"/>
      <c r="D60" s="237" t="s">
        <v>1101</v>
      </c>
      <c r="E60" s="105">
        <v>85.02</v>
      </c>
      <c r="F60" s="44">
        <v>3.66</v>
      </c>
      <c r="G60" s="44">
        <f t="shared" si="1"/>
        <v>311.1732</v>
      </c>
      <c r="H60" s="44"/>
      <c r="I60" s="44"/>
      <c r="J60" s="44"/>
      <c r="K60" s="48">
        <f>H60*1.1*0.18</f>
        <v>0</v>
      </c>
    </row>
    <row r="61" spans="1:11" ht="15.75" hidden="1">
      <c r="A61" s="13"/>
      <c r="B61" s="160" t="s">
        <v>1067</v>
      </c>
      <c r="C61" s="13"/>
      <c r="D61" s="237" t="s">
        <v>52</v>
      </c>
      <c r="E61" s="103">
        <v>78.97</v>
      </c>
      <c r="F61" s="44">
        <v>4.83</v>
      </c>
      <c r="G61" s="44">
        <f t="shared" si="1"/>
        <v>381.4251</v>
      </c>
      <c r="H61" s="44">
        <f>(G61+G62)*3.45</f>
        <v>2732.647365</v>
      </c>
      <c r="I61" s="44">
        <f>H61*1.25*1.2</f>
        <v>4098.9710475</v>
      </c>
      <c r="J61" s="44"/>
      <c r="K61" s="48">
        <f>H61*1.1*0.2</f>
        <v>601.1824203</v>
      </c>
    </row>
    <row r="62" spans="1:11" ht="15.75" hidden="1">
      <c r="A62" s="13"/>
      <c r="B62" s="160"/>
      <c r="C62" s="13"/>
      <c r="D62" s="237" t="s">
        <v>1101</v>
      </c>
      <c r="E62" s="105">
        <v>85.02</v>
      </c>
      <c r="F62" s="44">
        <v>4.83</v>
      </c>
      <c r="G62" s="44">
        <f t="shared" si="1"/>
        <v>410.6466</v>
      </c>
      <c r="H62" s="44"/>
      <c r="I62" s="44"/>
      <c r="J62" s="44"/>
      <c r="K62" s="48">
        <f>H62*1.1*0.18</f>
        <v>0</v>
      </c>
    </row>
    <row r="63" spans="1:11" ht="15.75" hidden="1">
      <c r="A63" s="13"/>
      <c r="B63" s="160" t="s">
        <v>1068</v>
      </c>
      <c r="C63" s="13"/>
      <c r="D63" s="237" t="s">
        <v>52</v>
      </c>
      <c r="E63" s="103">
        <v>78.97</v>
      </c>
      <c r="F63" s="44">
        <v>5.91</v>
      </c>
      <c r="G63" s="44">
        <f t="shared" si="1"/>
        <v>466.7127</v>
      </c>
      <c r="H63" s="44">
        <f>(G63+G64)*3.45</f>
        <v>3343.674105</v>
      </c>
      <c r="I63" s="44">
        <f>H63*1.25*1.2</f>
        <v>5015.511157499999</v>
      </c>
      <c r="J63" s="44"/>
      <c r="K63" s="48">
        <f>H63*1.1*0.2</f>
        <v>735.6083031000002</v>
      </c>
    </row>
    <row r="64" spans="1:11" ht="15.75" hidden="1">
      <c r="A64" s="13"/>
      <c r="B64" s="160"/>
      <c r="C64" s="13"/>
      <c r="D64" s="237" t="s">
        <v>1101</v>
      </c>
      <c r="E64" s="105">
        <v>85.02</v>
      </c>
      <c r="F64" s="44">
        <v>5.91</v>
      </c>
      <c r="G64" s="44">
        <f t="shared" si="1"/>
        <v>502.46819999999997</v>
      </c>
      <c r="H64" s="44"/>
      <c r="I64" s="44"/>
      <c r="J64" s="44"/>
      <c r="K64" s="48">
        <f>H64*1.1*0.18</f>
        <v>0</v>
      </c>
    </row>
    <row r="65" spans="1:11" ht="15.75" hidden="1">
      <c r="A65" s="13"/>
      <c r="B65" s="160" t="s">
        <v>1069</v>
      </c>
      <c r="C65" s="13"/>
      <c r="D65" s="237" t="s">
        <v>52</v>
      </c>
      <c r="E65" s="103">
        <v>78.97</v>
      </c>
      <c r="F65" s="44">
        <v>7.27</v>
      </c>
      <c r="G65" s="44">
        <f t="shared" si="1"/>
        <v>574.1119</v>
      </c>
      <c r="H65" s="44">
        <f>(G65+G66)*3.45</f>
        <v>4113.115185000001</v>
      </c>
      <c r="I65" s="44">
        <f>H65*1.25*1.2</f>
        <v>6169.672777500001</v>
      </c>
      <c r="J65" s="44"/>
      <c r="K65" s="48">
        <f>H65*1.1*0.2</f>
        <v>904.8853407000003</v>
      </c>
    </row>
    <row r="66" spans="1:11" ht="15.75" hidden="1">
      <c r="A66" s="45"/>
      <c r="B66" s="161"/>
      <c r="C66" s="45"/>
      <c r="D66" s="237" t="s">
        <v>1101</v>
      </c>
      <c r="E66" s="105">
        <v>85.02</v>
      </c>
      <c r="F66" s="47">
        <v>7.27</v>
      </c>
      <c r="G66" s="47">
        <f t="shared" si="1"/>
        <v>618.0953999999999</v>
      </c>
      <c r="H66" s="47"/>
      <c r="I66" s="47"/>
      <c r="J66" s="47"/>
      <c r="K66" s="48">
        <f>H66*1.1*0.18</f>
        <v>0</v>
      </c>
    </row>
    <row r="67" spans="1:11" ht="15.75" hidden="1">
      <c r="A67" s="24" t="s">
        <v>1010</v>
      </c>
      <c r="B67" s="159" t="s">
        <v>1063</v>
      </c>
      <c r="C67" s="24" t="s">
        <v>76</v>
      </c>
      <c r="D67" s="24"/>
      <c r="E67" s="94"/>
      <c r="F67" s="24"/>
      <c r="G67" s="24"/>
      <c r="H67" s="24"/>
      <c r="I67" s="24"/>
      <c r="J67" s="24"/>
      <c r="K67" s="48">
        <f>H67*1.1*0.18</f>
        <v>0</v>
      </c>
    </row>
    <row r="68" spans="1:11" ht="15.75" hidden="1">
      <c r="A68" s="13"/>
      <c r="B68" s="160" t="s">
        <v>1070</v>
      </c>
      <c r="C68" s="13"/>
      <c r="D68" s="237" t="s">
        <v>52</v>
      </c>
      <c r="E68" s="103">
        <v>78.97</v>
      </c>
      <c r="F68" s="44">
        <v>2.93</v>
      </c>
      <c r="G68" s="44">
        <f aca="true" t="shared" si="2" ref="G68:G81">E68*F68</f>
        <v>231.3821</v>
      </c>
      <c r="H68" s="44">
        <f>(G68+G69)*3.45</f>
        <v>1657.692915</v>
      </c>
      <c r="I68" s="44">
        <f>H68*1.25*1.2</f>
        <v>2486.5393725</v>
      </c>
      <c r="J68" s="44"/>
      <c r="K68" s="48">
        <f>H68*1.1*0.2</f>
        <v>364.6924413000001</v>
      </c>
    </row>
    <row r="69" spans="1:11" ht="15.75" hidden="1">
      <c r="A69" s="13"/>
      <c r="B69" s="43"/>
      <c r="C69" s="13"/>
      <c r="D69" s="237" t="s">
        <v>1101</v>
      </c>
      <c r="E69" s="105">
        <v>85.02</v>
      </c>
      <c r="F69" s="44">
        <v>2.93</v>
      </c>
      <c r="G69" s="44">
        <f t="shared" si="2"/>
        <v>249.1086</v>
      </c>
      <c r="H69" s="44"/>
      <c r="I69" s="44"/>
      <c r="J69" s="44"/>
      <c r="K69" s="48">
        <f>H69*1.1*0.18</f>
        <v>0</v>
      </c>
    </row>
    <row r="70" spans="1:11" ht="15.75" hidden="1">
      <c r="A70" s="13"/>
      <c r="B70" s="160" t="s">
        <v>1071</v>
      </c>
      <c r="C70" s="13"/>
      <c r="D70" s="237" t="s">
        <v>52</v>
      </c>
      <c r="E70" s="103">
        <v>78.97</v>
      </c>
      <c r="F70" s="44">
        <v>4.75</v>
      </c>
      <c r="G70" s="44">
        <f t="shared" si="2"/>
        <v>375.1075</v>
      </c>
      <c r="H70" s="44">
        <f>(G70+G71)*3.45</f>
        <v>2687.386125</v>
      </c>
      <c r="I70" s="44">
        <f>H70*1.25*1.2</f>
        <v>4031.0791875</v>
      </c>
      <c r="J70" s="44"/>
      <c r="K70" s="48">
        <f>H70*1.1*0.2</f>
        <v>591.2249475000001</v>
      </c>
    </row>
    <row r="71" spans="1:11" ht="15.75" hidden="1">
      <c r="A71" s="13"/>
      <c r="B71" s="43"/>
      <c r="C71" s="13"/>
      <c r="D71" s="237" t="s">
        <v>1101</v>
      </c>
      <c r="E71" s="105">
        <v>85.02</v>
      </c>
      <c r="F71" s="44">
        <v>4.75</v>
      </c>
      <c r="G71" s="44">
        <f t="shared" si="2"/>
        <v>403.84499999999997</v>
      </c>
      <c r="H71" s="44"/>
      <c r="I71" s="44"/>
      <c r="J71" s="44"/>
      <c r="K71" s="48">
        <f>H71*1.1*0.18</f>
        <v>0</v>
      </c>
    </row>
    <row r="72" spans="1:11" ht="15.75" hidden="1">
      <c r="A72" s="13"/>
      <c r="B72" s="160" t="s">
        <v>1072</v>
      </c>
      <c r="C72" s="13"/>
      <c r="D72" s="237" t="s">
        <v>52</v>
      </c>
      <c r="E72" s="103">
        <v>78.97</v>
      </c>
      <c r="F72" s="44">
        <v>6.3</v>
      </c>
      <c r="G72" s="44">
        <f t="shared" si="2"/>
        <v>497.51099999999997</v>
      </c>
      <c r="H72" s="44">
        <f>(G72+G73)*3.45</f>
        <v>3564.32265</v>
      </c>
      <c r="I72" s="44">
        <f>H72*1.25*1.2</f>
        <v>5346.483975</v>
      </c>
      <c r="J72" s="44"/>
      <c r="K72" s="48">
        <f>H72*1.1*0.2</f>
        <v>784.1509830000001</v>
      </c>
    </row>
    <row r="73" spans="1:11" ht="15.75" hidden="1">
      <c r="A73" s="13"/>
      <c r="B73" s="43"/>
      <c r="C73" s="13"/>
      <c r="D73" s="237" t="s">
        <v>1101</v>
      </c>
      <c r="E73" s="105">
        <v>85.02</v>
      </c>
      <c r="F73" s="44">
        <v>6.3</v>
      </c>
      <c r="G73" s="44">
        <f t="shared" si="2"/>
        <v>535.626</v>
      </c>
      <c r="H73" s="44"/>
      <c r="I73" s="44"/>
      <c r="J73" s="44"/>
      <c r="K73" s="48">
        <f>H73*1.1*0.18</f>
        <v>0</v>
      </c>
    </row>
    <row r="74" spans="1:11" ht="15.75" hidden="1">
      <c r="A74" s="13"/>
      <c r="B74" s="158" t="s">
        <v>1073</v>
      </c>
      <c r="C74" s="13"/>
      <c r="D74" s="237" t="s">
        <v>52</v>
      </c>
      <c r="E74" s="103">
        <v>78.97</v>
      </c>
      <c r="F74" s="44">
        <v>7.4</v>
      </c>
      <c r="G74" s="44">
        <f t="shared" si="2"/>
        <v>584.378</v>
      </c>
      <c r="H74" s="44">
        <f>(G74+G75)*3.45</f>
        <v>4186.6647</v>
      </c>
      <c r="I74" s="44">
        <f>H74*1.25*1.2</f>
        <v>6279.997050000001</v>
      </c>
      <c r="J74" s="44"/>
      <c r="K74" s="48">
        <f>H74*1.1*0.2</f>
        <v>921.0662340000001</v>
      </c>
    </row>
    <row r="75" spans="1:11" ht="15.75" hidden="1">
      <c r="A75" s="13"/>
      <c r="B75" s="158"/>
      <c r="C75" s="13"/>
      <c r="D75" s="237" t="s">
        <v>1101</v>
      </c>
      <c r="E75" s="105">
        <v>85.02</v>
      </c>
      <c r="F75" s="44">
        <v>7.4</v>
      </c>
      <c r="G75" s="44">
        <f t="shared" si="2"/>
        <v>629.148</v>
      </c>
      <c r="H75" s="44"/>
      <c r="I75" s="44"/>
      <c r="J75" s="44"/>
      <c r="K75" s="48">
        <f>H75*1.1*0.18</f>
        <v>0</v>
      </c>
    </row>
    <row r="76" spans="1:11" ht="15.75" hidden="1">
      <c r="A76" s="13"/>
      <c r="B76" s="158" t="s">
        <v>1074</v>
      </c>
      <c r="C76" s="13"/>
      <c r="D76" s="237" t="s">
        <v>52</v>
      </c>
      <c r="E76" s="103">
        <v>78.97</v>
      </c>
      <c r="F76" s="44">
        <v>9.1</v>
      </c>
      <c r="G76" s="44">
        <f t="shared" si="2"/>
        <v>718.627</v>
      </c>
      <c r="H76" s="44">
        <f>(G76+G77)*3.45</f>
        <v>5148.466049999999</v>
      </c>
      <c r="I76" s="44">
        <f>H76*1.25*1.2</f>
        <v>7722.699074999999</v>
      </c>
      <c r="J76" s="44"/>
      <c r="K76" s="48">
        <f>H76*1.1*0.2</f>
        <v>1132.662531</v>
      </c>
    </row>
    <row r="77" spans="1:11" ht="15.75" hidden="1">
      <c r="A77" s="45"/>
      <c r="B77" s="38"/>
      <c r="C77" s="45"/>
      <c r="D77" s="237" t="s">
        <v>1101</v>
      </c>
      <c r="E77" s="105">
        <v>85.02</v>
      </c>
      <c r="F77" s="47">
        <v>9.1</v>
      </c>
      <c r="G77" s="47">
        <f t="shared" si="2"/>
        <v>773.6819999999999</v>
      </c>
      <c r="H77" s="47"/>
      <c r="I77" s="47"/>
      <c r="J77" s="47"/>
      <c r="K77" s="48">
        <f>H77*1.1*0.18</f>
        <v>0</v>
      </c>
    </row>
    <row r="78" spans="1:11" ht="15.75" hidden="1">
      <c r="A78" s="24" t="s">
        <v>1011</v>
      </c>
      <c r="B78" s="703" t="s">
        <v>256</v>
      </c>
      <c r="C78" s="24" t="s">
        <v>76</v>
      </c>
      <c r="D78" s="228" t="s">
        <v>52</v>
      </c>
      <c r="E78" s="103">
        <v>78.97</v>
      </c>
      <c r="F78" s="48">
        <v>1.8</v>
      </c>
      <c r="G78" s="48">
        <f t="shared" si="2"/>
        <v>142.14600000000002</v>
      </c>
      <c r="H78" s="48">
        <f>(G78+G79)*3.45</f>
        <v>1018.3779000000001</v>
      </c>
      <c r="I78" s="48">
        <f>H78*1.25*1.2</f>
        <v>1527.56685</v>
      </c>
      <c r="J78" s="48"/>
      <c r="K78" s="48">
        <f>H78*1.1*0.2</f>
        <v>224.04313800000006</v>
      </c>
    </row>
    <row r="79" spans="1:11" ht="15.75" hidden="1">
      <c r="A79" s="45"/>
      <c r="B79" s="704"/>
      <c r="C79" s="45"/>
      <c r="D79" s="233" t="s">
        <v>1101</v>
      </c>
      <c r="E79" s="105">
        <v>85.02</v>
      </c>
      <c r="F79" s="47">
        <v>1.8</v>
      </c>
      <c r="G79" s="47">
        <f t="shared" si="2"/>
        <v>153.036</v>
      </c>
      <c r="H79" s="47"/>
      <c r="I79" s="47"/>
      <c r="J79" s="47"/>
      <c r="K79" s="48">
        <f>H79*1.1*0.18</f>
        <v>0</v>
      </c>
    </row>
    <row r="80" spans="1:11" ht="15.75" hidden="1">
      <c r="A80" s="24" t="s">
        <v>1013</v>
      </c>
      <c r="B80" s="703" t="s">
        <v>1012</v>
      </c>
      <c r="C80" s="24" t="s">
        <v>714</v>
      </c>
      <c r="D80" s="228" t="s">
        <v>52</v>
      </c>
      <c r="E80" s="103">
        <v>78.97</v>
      </c>
      <c r="F80" s="48">
        <v>0.72</v>
      </c>
      <c r="G80" s="48">
        <f t="shared" si="2"/>
        <v>56.858399999999996</v>
      </c>
      <c r="H80" s="48">
        <f>(G80+G81)*3.45</f>
        <v>407.35116000000005</v>
      </c>
      <c r="I80" s="48">
        <f>H80*1.25*1.2</f>
        <v>611.0267400000001</v>
      </c>
      <c r="J80" s="48"/>
      <c r="K80" s="48">
        <f>H80*1.1*0.2</f>
        <v>89.61725520000003</v>
      </c>
    </row>
    <row r="81" spans="1:11" ht="15.75" hidden="1">
      <c r="A81" s="45"/>
      <c r="B81" s="704"/>
      <c r="C81" s="45"/>
      <c r="D81" s="233" t="s">
        <v>1101</v>
      </c>
      <c r="E81" s="105">
        <v>85.02</v>
      </c>
      <c r="F81" s="47">
        <v>0.72</v>
      </c>
      <c r="G81" s="47">
        <f t="shared" si="2"/>
        <v>61.2144</v>
      </c>
      <c r="H81" s="47"/>
      <c r="I81" s="47"/>
      <c r="J81" s="47"/>
      <c r="K81" s="48">
        <f>H81*1.1*0.18</f>
        <v>0</v>
      </c>
    </row>
    <row r="82" spans="1:11" ht="15.75" hidden="1">
      <c r="A82" s="22"/>
      <c r="K82" s="48">
        <f>H82*1.1*0.18</f>
        <v>0</v>
      </c>
    </row>
    <row r="83" spans="1:11" ht="15.75" hidden="1">
      <c r="A83" s="13" t="s">
        <v>716</v>
      </c>
      <c r="B83" s="6"/>
      <c r="C83" s="62"/>
      <c r="D83" s="7"/>
      <c r="E83" s="284"/>
      <c r="F83" s="113"/>
      <c r="K83" s="48">
        <f>H83*1.1*0.18</f>
        <v>0</v>
      </c>
    </row>
    <row r="84" spans="1:11" ht="15.75" hidden="1">
      <c r="A84" s="22"/>
      <c r="K84" s="48">
        <f>H84*1.1*0.18</f>
        <v>0</v>
      </c>
    </row>
    <row r="85" spans="1:11" ht="47.25" hidden="1">
      <c r="A85" s="24" t="s">
        <v>718</v>
      </c>
      <c r="B85" s="153" t="s">
        <v>717</v>
      </c>
      <c r="C85" s="24" t="s">
        <v>810</v>
      </c>
      <c r="D85" s="228" t="s">
        <v>1103</v>
      </c>
      <c r="E85" s="103">
        <v>78.97</v>
      </c>
      <c r="F85" s="48">
        <v>2.55</v>
      </c>
      <c r="G85" s="48">
        <f aca="true" t="shared" si="3" ref="G85:G111">E85*F85</f>
        <v>201.37349999999998</v>
      </c>
      <c r="H85" s="48">
        <f>(G85+G86)*3.45</f>
        <v>1442.702025</v>
      </c>
      <c r="I85" s="48">
        <f>H85*1.25*1.2</f>
        <v>2164.0530375000003</v>
      </c>
      <c r="J85" s="48"/>
      <c r="K85" s="48">
        <f>H85*1.1*0.2</f>
        <v>317.3944455000001</v>
      </c>
    </row>
    <row r="86" spans="1:11" ht="15.75" hidden="1">
      <c r="A86" s="45"/>
      <c r="B86" s="154"/>
      <c r="C86" s="45"/>
      <c r="D86" s="233" t="s">
        <v>1101</v>
      </c>
      <c r="E86" s="105">
        <v>85.02</v>
      </c>
      <c r="F86" s="47">
        <v>2.55</v>
      </c>
      <c r="G86" s="47">
        <f t="shared" si="3"/>
        <v>216.801</v>
      </c>
      <c r="H86" s="47"/>
      <c r="I86" s="47"/>
      <c r="J86" s="47"/>
      <c r="K86" s="48">
        <f>H86*1.1*0.18</f>
        <v>0</v>
      </c>
    </row>
    <row r="87" spans="1:11" ht="31.5" hidden="1">
      <c r="A87" s="60" t="s">
        <v>719</v>
      </c>
      <c r="B87" s="152" t="s">
        <v>257</v>
      </c>
      <c r="C87" s="60" t="s">
        <v>810</v>
      </c>
      <c r="D87" s="228" t="s">
        <v>1103</v>
      </c>
      <c r="E87" s="103">
        <v>78.97</v>
      </c>
      <c r="F87" s="101">
        <v>3.76</v>
      </c>
      <c r="G87" s="101">
        <f t="shared" si="3"/>
        <v>296.92719999999997</v>
      </c>
      <c r="H87" s="102">
        <f>G87*3.45</f>
        <v>1024.39884</v>
      </c>
      <c r="I87" s="102">
        <f>H87*1.25*1.2</f>
        <v>1536.59826</v>
      </c>
      <c r="J87" s="60"/>
      <c r="K87" s="48">
        <f>H87*1.1*0.2</f>
        <v>225.36774480000005</v>
      </c>
    </row>
    <row r="88" spans="1:11" ht="47.25" hidden="1">
      <c r="A88" s="94" t="s">
        <v>1855</v>
      </c>
      <c r="B88" s="153" t="s">
        <v>1856</v>
      </c>
      <c r="C88" s="24" t="s">
        <v>810</v>
      </c>
      <c r="D88" s="228" t="s">
        <v>1103</v>
      </c>
      <c r="E88" s="103">
        <v>78.97</v>
      </c>
      <c r="F88" s="48">
        <v>4.24</v>
      </c>
      <c r="G88" s="48">
        <f t="shared" si="3"/>
        <v>334.8328</v>
      </c>
      <c r="H88" s="48">
        <f>(G88+G89)*3.45</f>
        <v>2398.8457200000003</v>
      </c>
      <c r="I88" s="48">
        <f>H88*1.25*1.2</f>
        <v>3598.2685800000004</v>
      </c>
      <c r="J88" s="48"/>
      <c r="K88" s="48">
        <f>H88*1.1*0.2</f>
        <v>527.7460584000002</v>
      </c>
    </row>
    <row r="89" spans="1:11" ht="15.75" hidden="1">
      <c r="A89" s="45"/>
      <c r="B89" s="154"/>
      <c r="C89" s="45"/>
      <c r="D89" s="233" t="s">
        <v>1101</v>
      </c>
      <c r="E89" s="105">
        <v>85.02</v>
      </c>
      <c r="F89" s="47">
        <v>4.24</v>
      </c>
      <c r="G89" s="47">
        <f t="shared" si="3"/>
        <v>360.4848</v>
      </c>
      <c r="H89" s="47"/>
      <c r="I89" s="47"/>
      <c r="J89" s="47"/>
      <c r="K89" s="48">
        <f>H89*1.1*0.18</f>
        <v>0</v>
      </c>
    </row>
    <row r="90" spans="1:11" ht="31.5" hidden="1">
      <c r="A90" s="60" t="s">
        <v>1857</v>
      </c>
      <c r="B90" s="152" t="s">
        <v>257</v>
      </c>
      <c r="C90" s="60" t="s">
        <v>810</v>
      </c>
      <c r="D90" s="228" t="s">
        <v>1103</v>
      </c>
      <c r="E90" s="103">
        <v>78.97</v>
      </c>
      <c r="F90" s="101">
        <v>6.26</v>
      </c>
      <c r="G90" s="101">
        <f t="shared" si="3"/>
        <v>494.3522</v>
      </c>
      <c r="H90" s="102">
        <f>G90*3.45</f>
        <v>1705.51509</v>
      </c>
      <c r="I90" s="102">
        <f>H90*1.25*1.2</f>
        <v>2558.272635</v>
      </c>
      <c r="J90" s="60"/>
      <c r="K90" s="48">
        <f>H90*1.1*0.2</f>
        <v>375.2133198000001</v>
      </c>
    </row>
    <row r="91" spans="1:11" ht="15.75" hidden="1">
      <c r="A91" s="94" t="s">
        <v>1858</v>
      </c>
      <c r="B91" s="153" t="s">
        <v>258</v>
      </c>
      <c r="C91" s="24" t="s">
        <v>259</v>
      </c>
      <c r="D91" s="228" t="s">
        <v>1103</v>
      </c>
      <c r="E91" s="103">
        <v>78.97</v>
      </c>
      <c r="F91" s="48">
        <v>6</v>
      </c>
      <c r="G91" s="48">
        <f t="shared" si="3"/>
        <v>473.82</v>
      </c>
      <c r="H91" s="48">
        <f>(G91+G92)*3.45</f>
        <v>3394.5930000000003</v>
      </c>
      <c r="I91" s="48">
        <f>H91*1.25*1.2</f>
        <v>5091.8895</v>
      </c>
      <c r="J91" s="48"/>
      <c r="K91" s="48">
        <f>H91*1.1*0.2</f>
        <v>746.8104600000001</v>
      </c>
    </row>
    <row r="92" spans="1:11" ht="15.75" hidden="1">
      <c r="A92" s="45"/>
      <c r="B92" s="154"/>
      <c r="C92" s="45"/>
      <c r="D92" s="233" t="s">
        <v>1101</v>
      </c>
      <c r="E92" s="105">
        <v>85.02</v>
      </c>
      <c r="F92" s="47">
        <v>6</v>
      </c>
      <c r="G92" s="47">
        <f t="shared" si="3"/>
        <v>510.12</v>
      </c>
      <c r="H92" s="47"/>
      <c r="I92" s="47"/>
      <c r="J92" s="47"/>
      <c r="K92" s="48">
        <f>H92*1.1*0.18</f>
        <v>0</v>
      </c>
    </row>
    <row r="93" spans="1:11" ht="15.75" hidden="1">
      <c r="A93" s="94" t="s">
        <v>1149</v>
      </c>
      <c r="B93" s="153" t="s">
        <v>260</v>
      </c>
      <c r="C93" s="217" t="s">
        <v>1350</v>
      </c>
      <c r="D93" s="228" t="s">
        <v>1103</v>
      </c>
      <c r="E93" s="103">
        <v>78.97</v>
      </c>
      <c r="F93" s="48">
        <v>1.75</v>
      </c>
      <c r="G93" s="48">
        <f t="shared" si="3"/>
        <v>138.1975</v>
      </c>
      <c r="H93" s="48">
        <f>(G93+G94)*3.45</f>
        <v>990.089625</v>
      </c>
      <c r="I93" s="48">
        <f>H93*1.25*1.2</f>
        <v>1485.1344374999999</v>
      </c>
      <c r="J93" s="48"/>
      <c r="K93" s="48">
        <f>H93*1.1*0.2</f>
        <v>217.81971750000002</v>
      </c>
    </row>
    <row r="94" spans="1:11" ht="15.75" hidden="1">
      <c r="A94" s="13"/>
      <c r="B94" s="155"/>
      <c r="C94" s="215"/>
      <c r="D94" s="237" t="s">
        <v>1101</v>
      </c>
      <c r="E94" s="286">
        <v>85.02</v>
      </c>
      <c r="F94" s="262">
        <v>1.75</v>
      </c>
      <c r="G94" s="44">
        <f t="shared" si="3"/>
        <v>148.785</v>
      </c>
      <c r="H94" s="44"/>
      <c r="I94" s="44"/>
      <c r="J94" s="44"/>
      <c r="K94" s="48">
        <f>H94*1.1*0.18</f>
        <v>0</v>
      </c>
    </row>
    <row r="95" spans="1:11" ht="15.75" hidden="1">
      <c r="A95" s="13"/>
      <c r="B95" s="156" t="s">
        <v>1301</v>
      </c>
      <c r="C95" s="215"/>
      <c r="D95" s="237" t="s">
        <v>1103</v>
      </c>
      <c r="E95" s="103">
        <v>78.97</v>
      </c>
      <c r="F95" s="44">
        <v>2</v>
      </c>
      <c r="G95" s="44">
        <f t="shared" si="3"/>
        <v>157.94</v>
      </c>
      <c r="H95" s="44">
        <f>(G95+G96)*3.45</f>
        <v>1131.5310000000002</v>
      </c>
      <c r="I95" s="44">
        <f>H95*1.25*1.2</f>
        <v>1697.2965000000002</v>
      </c>
      <c r="J95" s="44"/>
      <c r="K95" s="48">
        <f>H95*1.1*0.2</f>
        <v>248.9368200000001</v>
      </c>
    </row>
    <row r="96" spans="1:11" ht="15.75" hidden="1">
      <c r="A96" s="13"/>
      <c r="B96" s="156"/>
      <c r="C96" s="215"/>
      <c r="D96" s="237" t="s">
        <v>1101</v>
      </c>
      <c r="E96" s="286">
        <v>85.02</v>
      </c>
      <c r="F96" s="44">
        <v>2</v>
      </c>
      <c r="G96" s="44">
        <f t="shared" si="3"/>
        <v>170.04</v>
      </c>
      <c r="H96" s="44"/>
      <c r="I96" s="44"/>
      <c r="J96" s="44"/>
      <c r="K96" s="48">
        <f>H96*1.1*0.18</f>
        <v>0</v>
      </c>
    </row>
    <row r="97" spans="1:11" ht="15.75" hidden="1">
      <c r="A97" s="13"/>
      <c r="B97" s="156" t="s">
        <v>798</v>
      </c>
      <c r="C97" s="215"/>
      <c r="D97" s="237" t="s">
        <v>1103</v>
      </c>
      <c r="E97" s="103">
        <v>78.97</v>
      </c>
      <c r="F97" s="44">
        <v>4</v>
      </c>
      <c r="G97" s="44">
        <f t="shared" si="3"/>
        <v>315.88</v>
      </c>
      <c r="H97" s="44">
        <f>(G97+G98)*3.45</f>
        <v>2263.0620000000004</v>
      </c>
      <c r="I97" s="44">
        <f>H97*1.25*1.2</f>
        <v>3394.5930000000003</v>
      </c>
      <c r="J97" s="44"/>
      <c r="K97" s="48">
        <f>H97*1.1*0.2</f>
        <v>497.8736400000002</v>
      </c>
    </row>
    <row r="98" spans="1:11" ht="15.75" hidden="1">
      <c r="A98" s="13"/>
      <c r="B98" s="156"/>
      <c r="C98" s="215"/>
      <c r="D98" s="237" t="s">
        <v>1101</v>
      </c>
      <c r="E98" s="286">
        <v>85.02</v>
      </c>
      <c r="F98" s="44">
        <v>4</v>
      </c>
      <c r="G98" s="44">
        <f t="shared" si="3"/>
        <v>340.08</v>
      </c>
      <c r="H98" s="44"/>
      <c r="I98" s="44"/>
      <c r="J98" s="44"/>
      <c r="K98" s="48">
        <f>H98*1.1*0.18</f>
        <v>0</v>
      </c>
    </row>
    <row r="99" spans="1:11" ht="15.75" hidden="1">
      <c r="A99" s="13"/>
      <c r="B99" s="156" t="s">
        <v>1242</v>
      </c>
      <c r="C99" s="215"/>
      <c r="D99" s="237" t="s">
        <v>1103</v>
      </c>
      <c r="E99" s="103">
        <v>78.97</v>
      </c>
      <c r="F99" s="44">
        <v>6</v>
      </c>
      <c r="G99" s="44">
        <f t="shared" si="3"/>
        <v>473.82</v>
      </c>
      <c r="H99" s="44">
        <f>(G99+G100)*3.45</f>
        <v>3394.5930000000003</v>
      </c>
      <c r="I99" s="44">
        <f>H99*1.25*1.2</f>
        <v>5091.8895</v>
      </c>
      <c r="J99" s="44"/>
      <c r="K99" s="48">
        <f>H99*1.1*0.2</f>
        <v>746.8104600000001</v>
      </c>
    </row>
    <row r="100" spans="1:11" ht="15.75" hidden="1">
      <c r="A100" s="13"/>
      <c r="B100" s="156"/>
      <c r="C100" s="215"/>
      <c r="D100" s="237" t="s">
        <v>1101</v>
      </c>
      <c r="E100" s="286">
        <v>85.02</v>
      </c>
      <c r="F100" s="44">
        <v>6</v>
      </c>
      <c r="G100" s="44">
        <f t="shared" si="3"/>
        <v>510.12</v>
      </c>
      <c r="H100" s="44"/>
      <c r="I100" s="44"/>
      <c r="J100" s="44"/>
      <c r="K100" s="48">
        <f>H100*1.1*0.18</f>
        <v>0</v>
      </c>
    </row>
    <row r="101" spans="1:11" ht="15.75" hidden="1">
      <c r="A101" s="13"/>
      <c r="B101" s="156" t="s">
        <v>1251</v>
      </c>
      <c r="C101" s="215"/>
      <c r="D101" s="237" t="s">
        <v>1103</v>
      </c>
      <c r="E101" s="103">
        <v>78.97</v>
      </c>
      <c r="F101" s="44">
        <v>8</v>
      </c>
      <c r="G101" s="44">
        <f t="shared" si="3"/>
        <v>631.76</v>
      </c>
      <c r="H101" s="44">
        <f>(G101+G102)*3.45</f>
        <v>4526.124000000001</v>
      </c>
      <c r="I101" s="44">
        <f>H101*1.25*1.2</f>
        <v>6789.186000000001</v>
      </c>
      <c r="J101" s="44"/>
      <c r="K101" s="48">
        <f>H101*1.1*0.2</f>
        <v>995.7472800000004</v>
      </c>
    </row>
    <row r="102" spans="1:11" ht="15.75" hidden="1">
      <c r="A102" s="13"/>
      <c r="B102" s="156"/>
      <c r="C102" s="215"/>
      <c r="D102" s="237" t="s">
        <v>1101</v>
      </c>
      <c r="E102" s="286">
        <v>85.02</v>
      </c>
      <c r="F102" s="44">
        <v>8</v>
      </c>
      <c r="G102" s="44">
        <f t="shared" si="3"/>
        <v>680.16</v>
      </c>
      <c r="H102" s="44"/>
      <c r="I102" s="44"/>
      <c r="J102" s="44"/>
      <c r="K102" s="48">
        <f>H102*1.1*0.18</f>
        <v>0</v>
      </c>
    </row>
    <row r="103" spans="1:11" ht="15.75" hidden="1">
      <c r="A103" s="13"/>
      <c r="B103" s="156" t="s">
        <v>1243</v>
      </c>
      <c r="C103" s="215"/>
      <c r="D103" s="237" t="s">
        <v>1103</v>
      </c>
      <c r="E103" s="103">
        <v>78.97</v>
      </c>
      <c r="F103" s="44">
        <v>10</v>
      </c>
      <c r="G103" s="44">
        <f t="shared" si="3"/>
        <v>789.7</v>
      </c>
      <c r="H103" s="44">
        <f>(G103+G104)*3.45</f>
        <v>5657.655000000001</v>
      </c>
      <c r="I103" s="44">
        <f>H103*1.25*1.2</f>
        <v>8486.4825</v>
      </c>
      <c r="J103" s="44"/>
      <c r="K103" s="48">
        <f>H103*1.1*0.2</f>
        <v>1244.6841000000004</v>
      </c>
    </row>
    <row r="104" spans="1:11" ht="15.75" hidden="1">
      <c r="A104" s="13"/>
      <c r="B104" s="156"/>
      <c r="C104" s="215"/>
      <c r="D104" s="237" t="s">
        <v>1101</v>
      </c>
      <c r="E104" s="286">
        <v>85.02</v>
      </c>
      <c r="F104" s="44">
        <v>10</v>
      </c>
      <c r="G104" s="44">
        <f t="shared" si="3"/>
        <v>850.1999999999999</v>
      </c>
      <c r="H104" s="44"/>
      <c r="I104" s="44"/>
      <c r="J104" s="44"/>
      <c r="K104" s="48">
        <f>H104*1.1*0.18</f>
        <v>0</v>
      </c>
    </row>
    <row r="105" spans="1:11" ht="15.75" hidden="1">
      <c r="A105" s="13"/>
      <c r="B105" s="156" t="s">
        <v>1244</v>
      </c>
      <c r="C105" s="215"/>
      <c r="D105" s="237" t="s">
        <v>1103</v>
      </c>
      <c r="E105" s="103">
        <v>78.97</v>
      </c>
      <c r="F105" s="44">
        <v>14</v>
      </c>
      <c r="G105" s="44">
        <f t="shared" si="3"/>
        <v>1105.58</v>
      </c>
      <c r="H105" s="44">
        <f>(G105+G106)*3.45</f>
        <v>7920.717</v>
      </c>
      <c r="I105" s="44">
        <f>H105*1.25*1.2</f>
        <v>11881.075499999999</v>
      </c>
      <c r="J105" s="44"/>
      <c r="K105" s="48">
        <f>H105*1.1*0.2</f>
        <v>1742.5577400000002</v>
      </c>
    </row>
    <row r="106" spans="1:11" ht="15.75" hidden="1">
      <c r="A106" s="45"/>
      <c r="B106" s="154"/>
      <c r="C106" s="218"/>
      <c r="D106" s="237" t="s">
        <v>1101</v>
      </c>
      <c r="E106" s="286">
        <v>85.02</v>
      </c>
      <c r="F106" s="47">
        <v>14</v>
      </c>
      <c r="G106" s="47">
        <f t="shared" si="3"/>
        <v>1190.28</v>
      </c>
      <c r="H106" s="47"/>
      <c r="I106" s="47"/>
      <c r="J106" s="47"/>
      <c r="K106" s="48">
        <f>H106*1.1*0.18</f>
        <v>0</v>
      </c>
    </row>
    <row r="107" spans="1:11" ht="31.5" hidden="1">
      <c r="A107" s="24" t="s">
        <v>1150</v>
      </c>
      <c r="B107" s="153" t="s">
        <v>261</v>
      </c>
      <c r="C107" s="24" t="s">
        <v>1859</v>
      </c>
      <c r="D107" s="256" t="s">
        <v>1103</v>
      </c>
      <c r="E107" s="103">
        <v>78.97</v>
      </c>
      <c r="F107" s="103">
        <v>0.6</v>
      </c>
      <c r="G107" s="103">
        <f t="shared" si="3"/>
        <v>47.382</v>
      </c>
      <c r="H107" s="104">
        <f>G107*3.45</f>
        <v>163.46790000000001</v>
      </c>
      <c r="I107" s="104">
        <f>H107*1.25*1.2</f>
        <v>245.20185</v>
      </c>
      <c r="J107" s="24"/>
      <c r="K107" s="48">
        <f>H107*1.1*0.2</f>
        <v>35.96293800000001</v>
      </c>
    </row>
    <row r="108" spans="1:11" ht="15.75" hidden="1">
      <c r="A108" s="13"/>
      <c r="B108" s="156" t="s">
        <v>262</v>
      </c>
      <c r="C108" s="13"/>
      <c r="D108" s="265" t="s">
        <v>1103</v>
      </c>
      <c r="E108" s="103">
        <v>78.97</v>
      </c>
      <c r="F108" s="109">
        <v>1.11</v>
      </c>
      <c r="G108" s="109">
        <f t="shared" si="3"/>
        <v>87.6567</v>
      </c>
      <c r="H108" s="150">
        <f>G108*3.45</f>
        <v>302.415615</v>
      </c>
      <c r="I108" s="150">
        <f>H108*1.25*1.2</f>
        <v>453.62342249999995</v>
      </c>
      <c r="J108" s="13"/>
      <c r="K108" s="48">
        <f>H108*1.1*0.2</f>
        <v>66.53143530000001</v>
      </c>
    </row>
    <row r="109" spans="1:11" ht="15.75" hidden="1">
      <c r="A109" s="45"/>
      <c r="B109" s="157" t="s">
        <v>263</v>
      </c>
      <c r="C109" s="45"/>
      <c r="D109" s="265" t="s">
        <v>1103</v>
      </c>
      <c r="E109" s="103">
        <v>78.97</v>
      </c>
      <c r="F109" s="105">
        <v>1.61</v>
      </c>
      <c r="G109" s="105">
        <f t="shared" si="3"/>
        <v>127.1417</v>
      </c>
      <c r="H109" s="106">
        <f>G109*3.45</f>
        <v>438.638865</v>
      </c>
      <c r="I109" s="106">
        <f>H109*1.25*1.2</f>
        <v>657.9582975</v>
      </c>
      <c r="J109" s="45"/>
      <c r="K109" s="48">
        <f>H109*1.1*0.2</f>
        <v>96.50055030000001</v>
      </c>
    </row>
    <row r="110" spans="1:11" ht="15.75" hidden="1">
      <c r="A110" s="24" t="s">
        <v>1151</v>
      </c>
      <c r="B110" s="153" t="s">
        <v>264</v>
      </c>
      <c r="C110" s="24" t="s">
        <v>1768</v>
      </c>
      <c r="D110" s="228" t="s">
        <v>1103</v>
      </c>
      <c r="E110" s="103">
        <v>78.97</v>
      </c>
      <c r="F110" s="103">
        <v>2.03</v>
      </c>
      <c r="G110" s="103">
        <f t="shared" si="3"/>
        <v>160.30909999999997</v>
      </c>
      <c r="H110" s="104">
        <f>G110*3.45</f>
        <v>553.0663949999999</v>
      </c>
      <c r="I110" s="104">
        <f>H110*1.25*1.2</f>
        <v>829.5995924999999</v>
      </c>
      <c r="J110" s="24"/>
      <c r="K110" s="48">
        <f>H110*1.1*0.2</f>
        <v>121.67460690000001</v>
      </c>
    </row>
    <row r="111" spans="1:11" s="22" customFormat="1" ht="31.5" hidden="1">
      <c r="A111" s="60" t="s">
        <v>1143</v>
      </c>
      <c r="B111" s="292" t="s">
        <v>265</v>
      </c>
      <c r="C111" s="60" t="s">
        <v>811</v>
      </c>
      <c r="D111" s="228" t="s">
        <v>1103</v>
      </c>
      <c r="E111" s="101">
        <v>78.97</v>
      </c>
      <c r="F111" s="101">
        <v>5.63</v>
      </c>
      <c r="G111" s="101">
        <f t="shared" si="3"/>
        <v>444.6011</v>
      </c>
      <c r="H111" s="102">
        <f>G111*3.45</f>
        <v>1533.873795</v>
      </c>
      <c r="I111" s="102">
        <f>H111*1.25*1.2</f>
        <v>2300.8106924999997</v>
      </c>
      <c r="J111" s="60"/>
      <c r="K111" s="48">
        <f>H111*1.1*0.2</f>
        <v>337.45223490000006</v>
      </c>
    </row>
    <row r="112" spans="1:11" ht="15.75" hidden="1">
      <c r="A112" s="100" t="s">
        <v>1144</v>
      </c>
      <c r="B112" s="155" t="s">
        <v>266</v>
      </c>
      <c r="C112" s="267" t="s">
        <v>725</v>
      </c>
      <c r="D112" s="24"/>
      <c r="E112" s="293"/>
      <c r="F112" s="43"/>
      <c r="G112" s="13"/>
      <c r="H112" s="13"/>
      <c r="I112" s="13"/>
      <c r="J112" s="13"/>
      <c r="K112" s="48">
        <f>H112*1.1*0.18</f>
        <v>0</v>
      </c>
    </row>
    <row r="113" spans="1:11" ht="15.75" hidden="1">
      <c r="A113" s="13"/>
      <c r="B113" s="156" t="s">
        <v>267</v>
      </c>
      <c r="C113" s="215"/>
      <c r="D113" s="265" t="s">
        <v>1103</v>
      </c>
      <c r="E113" s="103">
        <v>78.97</v>
      </c>
      <c r="F113" s="266">
        <v>2.29</v>
      </c>
      <c r="G113" s="109">
        <f>E113*F113</f>
        <v>180.8413</v>
      </c>
      <c r="H113" s="150">
        <f>G113*3.45</f>
        <v>623.902485</v>
      </c>
      <c r="I113" s="150">
        <f>H113*1.25*1.2</f>
        <v>935.8537274999999</v>
      </c>
      <c r="J113" s="13"/>
      <c r="K113" s="48">
        <f>H113*1.1*0.2</f>
        <v>137.2585467</v>
      </c>
    </row>
    <row r="114" spans="1:11" ht="15.75" hidden="1">
      <c r="A114" s="13"/>
      <c r="B114" s="156" t="s">
        <v>1281</v>
      </c>
      <c r="C114" s="215"/>
      <c r="D114" s="265" t="s">
        <v>1103</v>
      </c>
      <c r="E114" s="103">
        <v>78.97</v>
      </c>
      <c r="F114" s="266">
        <v>2.86</v>
      </c>
      <c r="G114" s="109">
        <f>E114*F114</f>
        <v>225.8542</v>
      </c>
      <c r="H114" s="150">
        <f>G114*3.45</f>
        <v>779.19699</v>
      </c>
      <c r="I114" s="150">
        <f>H114*1.25*1.2</f>
        <v>1168.7954849999999</v>
      </c>
      <c r="J114" s="13"/>
      <c r="K114" s="48">
        <f>H114*1.1*0.2</f>
        <v>171.4233378</v>
      </c>
    </row>
    <row r="115" spans="1:11" ht="15.75" hidden="1">
      <c r="A115" s="13"/>
      <c r="B115" s="156" t="s">
        <v>268</v>
      </c>
      <c r="C115" s="215"/>
      <c r="D115" s="265" t="s">
        <v>1103</v>
      </c>
      <c r="E115" s="103">
        <v>78.97</v>
      </c>
      <c r="F115" s="266">
        <v>3.44</v>
      </c>
      <c r="G115" s="109">
        <f>E115*F115</f>
        <v>271.6568</v>
      </c>
      <c r="H115" s="150">
        <f>G115*3.45</f>
        <v>937.21596</v>
      </c>
      <c r="I115" s="150">
        <f>H115*1.25*1.2</f>
        <v>1405.8239399999998</v>
      </c>
      <c r="J115" s="13"/>
      <c r="K115" s="48">
        <f>H115*1.1*0.2</f>
        <v>206.18751120000002</v>
      </c>
    </row>
    <row r="116" spans="1:11" ht="15.75" hidden="1">
      <c r="A116" s="45"/>
      <c r="B116" s="157" t="s">
        <v>269</v>
      </c>
      <c r="C116" s="218"/>
      <c r="D116" s="257" t="s">
        <v>1103</v>
      </c>
      <c r="E116" s="103">
        <v>78.97</v>
      </c>
      <c r="F116" s="255">
        <v>4.02</v>
      </c>
      <c r="G116" s="105">
        <f>E116*F116</f>
        <v>317.45939999999996</v>
      </c>
      <c r="H116" s="106">
        <f>G116*3.45</f>
        <v>1095.2349299999998</v>
      </c>
      <c r="I116" s="106">
        <f>H116*1.25*1.2</f>
        <v>1642.8523949999997</v>
      </c>
      <c r="J116" s="45"/>
      <c r="K116" s="48">
        <f>H116*1.1*0.2</f>
        <v>240.95168460000002</v>
      </c>
    </row>
    <row r="117" spans="1:11" ht="15.75" hidden="1">
      <c r="A117" s="24" t="s">
        <v>1145</v>
      </c>
      <c r="B117" s="153" t="s">
        <v>270</v>
      </c>
      <c r="C117" s="217" t="s">
        <v>182</v>
      </c>
      <c r="D117" s="13"/>
      <c r="E117" s="94"/>
      <c r="F117" s="23"/>
      <c r="G117" s="24"/>
      <c r="H117" s="24"/>
      <c r="I117" s="24"/>
      <c r="J117" s="24"/>
      <c r="K117" s="48">
        <f>H117*1.1*0.18</f>
        <v>0</v>
      </c>
    </row>
    <row r="118" spans="1:11" ht="15.75" hidden="1">
      <c r="A118" s="13"/>
      <c r="B118" s="156" t="s">
        <v>267</v>
      </c>
      <c r="C118" s="215"/>
      <c r="D118" s="265" t="s">
        <v>1103</v>
      </c>
      <c r="E118" s="103">
        <v>78.97</v>
      </c>
      <c r="F118" s="266">
        <v>2.76</v>
      </c>
      <c r="G118" s="109">
        <f aca="true" t="shared" si="4" ref="G118:G134">E118*F118</f>
        <v>217.95719999999997</v>
      </c>
      <c r="H118" s="150">
        <f aca="true" t="shared" si="5" ref="H118:H129">G118*3.45</f>
        <v>751.9523399999999</v>
      </c>
      <c r="I118" s="150">
        <f aca="true" t="shared" si="6" ref="I118:I130">H118*1.25*1.2</f>
        <v>1127.9285099999997</v>
      </c>
      <c r="J118" s="13"/>
      <c r="K118" s="48">
        <f aca="true" t="shared" si="7" ref="K118:K130">H118*1.1*0.2</f>
        <v>165.4295148</v>
      </c>
    </row>
    <row r="119" spans="1:11" ht="15.75" hidden="1">
      <c r="A119" s="13"/>
      <c r="B119" s="156" t="s">
        <v>1281</v>
      </c>
      <c r="C119" s="215"/>
      <c r="D119" s="265" t="s">
        <v>1103</v>
      </c>
      <c r="E119" s="103">
        <v>78.97</v>
      </c>
      <c r="F119" s="266">
        <v>4.12</v>
      </c>
      <c r="G119" s="109">
        <f t="shared" si="4"/>
        <v>325.3564</v>
      </c>
      <c r="H119" s="150">
        <f t="shared" si="5"/>
        <v>1122.4795800000002</v>
      </c>
      <c r="I119" s="150">
        <f t="shared" si="6"/>
        <v>1683.7193700000003</v>
      </c>
      <c r="J119" s="13"/>
      <c r="K119" s="48">
        <f t="shared" si="7"/>
        <v>246.94550760000007</v>
      </c>
    </row>
    <row r="120" spans="1:11" ht="15.75" hidden="1">
      <c r="A120" s="13"/>
      <c r="B120" s="156" t="s">
        <v>268</v>
      </c>
      <c r="C120" s="215"/>
      <c r="D120" s="265" t="s">
        <v>52</v>
      </c>
      <c r="E120" s="109">
        <v>78.97</v>
      </c>
      <c r="F120" s="266">
        <v>5.47</v>
      </c>
      <c r="G120" s="109">
        <f t="shared" si="4"/>
        <v>431.9659</v>
      </c>
      <c r="H120" s="150">
        <f t="shared" si="5"/>
        <v>1490.282355</v>
      </c>
      <c r="I120" s="150">
        <f t="shared" si="6"/>
        <v>2235.4235325</v>
      </c>
      <c r="J120" s="13"/>
      <c r="K120" s="48">
        <f t="shared" si="7"/>
        <v>327.8621181000001</v>
      </c>
    </row>
    <row r="121" spans="1:11" ht="15.75" hidden="1">
      <c r="A121" s="45"/>
      <c r="B121" s="157" t="s">
        <v>269</v>
      </c>
      <c r="C121" s="218"/>
      <c r="D121" s="257" t="s">
        <v>1103</v>
      </c>
      <c r="E121" s="103">
        <v>78.97</v>
      </c>
      <c r="F121" s="255">
        <v>6.82</v>
      </c>
      <c r="G121" s="105">
        <f t="shared" si="4"/>
        <v>538.5754000000001</v>
      </c>
      <c r="H121" s="106">
        <f t="shared" si="5"/>
        <v>1858.0851300000004</v>
      </c>
      <c r="I121" s="106">
        <f t="shared" si="6"/>
        <v>2787.127695</v>
      </c>
      <c r="J121" s="45"/>
      <c r="K121" s="48">
        <f t="shared" si="7"/>
        <v>408.77872860000014</v>
      </c>
    </row>
    <row r="122" spans="1:11" ht="15.75" hidden="1">
      <c r="A122" s="60" t="s">
        <v>1146</v>
      </c>
      <c r="B122" s="152" t="s">
        <v>271</v>
      </c>
      <c r="C122" s="40" t="s">
        <v>804</v>
      </c>
      <c r="D122" s="234" t="s">
        <v>1103</v>
      </c>
      <c r="E122" s="103">
        <v>78.97</v>
      </c>
      <c r="F122" s="101">
        <v>7.7</v>
      </c>
      <c r="G122" s="101">
        <f t="shared" si="4"/>
        <v>608.069</v>
      </c>
      <c r="H122" s="102">
        <f t="shared" si="5"/>
        <v>2097.83805</v>
      </c>
      <c r="I122" s="102">
        <f t="shared" si="6"/>
        <v>3146.757075</v>
      </c>
      <c r="J122" s="60"/>
      <c r="K122" s="48">
        <f t="shared" si="7"/>
        <v>461.524371</v>
      </c>
    </row>
    <row r="123" spans="1:11" ht="31.5" hidden="1">
      <c r="A123" s="60" t="s">
        <v>1014</v>
      </c>
      <c r="B123" s="152" t="s">
        <v>272</v>
      </c>
      <c r="C123" s="40" t="s">
        <v>76</v>
      </c>
      <c r="D123" s="237" t="s">
        <v>1103</v>
      </c>
      <c r="E123" s="103">
        <v>78.97</v>
      </c>
      <c r="F123" s="101">
        <v>2</v>
      </c>
      <c r="G123" s="101">
        <f t="shared" si="4"/>
        <v>157.94</v>
      </c>
      <c r="H123" s="102">
        <f t="shared" si="5"/>
        <v>544.893</v>
      </c>
      <c r="I123" s="102">
        <f t="shared" si="6"/>
        <v>817.3395</v>
      </c>
      <c r="J123" s="60"/>
      <c r="K123" s="48">
        <f t="shared" si="7"/>
        <v>119.87646000000002</v>
      </c>
    </row>
    <row r="124" spans="1:11" ht="15.75" hidden="1">
      <c r="A124" s="24" t="s">
        <v>1015</v>
      </c>
      <c r="B124" s="153" t="s">
        <v>273</v>
      </c>
      <c r="C124" s="217" t="s">
        <v>76</v>
      </c>
      <c r="D124" s="228" t="s">
        <v>1103</v>
      </c>
      <c r="E124" s="103">
        <v>78.97</v>
      </c>
      <c r="F124" s="174">
        <v>3.96</v>
      </c>
      <c r="G124" s="103">
        <f t="shared" si="4"/>
        <v>312.7212</v>
      </c>
      <c r="H124" s="104">
        <f t="shared" si="5"/>
        <v>1078.88814</v>
      </c>
      <c r="I124" s="104">
        <f t="shared" si="6"/>
        <v>1618.33221</v>
      </c>
      <c r="J124" s="24"/>
      <c r="K124" s="48">
        <f t="shared" si="7"/>
        <v>237.35539080000004</v>
      </c>
    </row>
    <row r="125" spans="1:11" ht="15.75" hidden="1">
      <c r="A125" s="13"/>
      <c r="B125" s="156" t="s">
        <v>274</v>
      </c>
      <c r="C125" s="215"/>
      <c r="D125" s="237" t="s">
        <v>1103</v>
      </c>
      <c r="E125" s="103">
        <v>78.97</v>
      </c>
      <c r="F125" s="266">
        <v>5.48</v>
      </c>
      <c r="G125" s="109">
        <f t="shared" si="4"/>
        <v>432.7556</v>
      </c>
      <c r="H125" s="150">
        <f t="shared" si="5"/>
        <v>1493.00682</v>
      </c>
      <c r="I125" s="150">
        <f t="shared" si="6"/>
        <v>2239.5102300000003</v>
      </c>
      <c r="J125" s="13"/>
      <c r="K125" s="48">
        <f t="shared" si="7"/>
        <v>328.46150040000003</v>
      </c>
    </row>
    <row r="126" spans="1:11" ht="15.75" hidden="1">
      <c r="A126" s="13"/>
      <c r="B126" s="156" t="s">
        <v>661</v>
      </c>
      <c r="C126" s="215"/>
      <c r="D126" s="237" t="s">
        <v>1103</v>
      </c>
      <c r="E126" s="103">
        <v>78.97</v>
      </c>
      <c r="F126" s="266">
        <v>7.66</v>
      </c>
      <c r="G126" s="109">
        <f t="shared" si="4"/>
        <v>604.9102</v>
      </c>
      <c r="H126" s="150">
        <f t="shared" si="5"/>
        <v>2086.9401900000003</v>
      </c>
      <c r="I126" s="150">
        <f t="shared" si="6"/>
        <v>3130.4102850000004</v>
      </c>
      <c r="J126" s="13"/>
      <c r="K126" s="48">
        <f t="shared" si="7"/>
        <v>459.1268418000001</v>
      </c>
    </row>
    <row r="127" spans="1:11" ht="15.75" hidden="1">
      <c r="A127" s="13"/>
      <c r="B127" s="156" t="s">
        <v>662</v>
      </c>
      <c r="C127" s="215"/>
      <c r="D127" s="237" t="s">
        <v>1103</v>
      </c>
      <c r="E127" s="103">
        <v>78.97</v>
      </c>
      <c r="F127" s="266">
        <v>8.97</v>
      </c>
      <c r="G127" s="109">
        <f t="shared" si="4"/>
        <v>708.3609</v>
      </c>
      <c r="H127" s="150">
        <f t="shared" si="5"/>
        <v>2443.8451050000003</v>
      </c>
      <c r="I127" s="150">
        <f t="shared" si="6"/>
        <v>3665.7676575000005</v>
      </c>
      <c r="J127" s="13"/>
      <c r="K127" s="48">
        <f t="shared" si="7"/>
        <v>537.6459231000001</v>
      </c>
    </row>
    <row r="128" spans="1:11" ht="15.75" hidden="1">
      <c r="A128" s="13"/>
      <c r="B128" s="156" t="s">
        <v>663</v>
      </c>
      <c r="C128" s="215"/>
      <c r="D128" s="237" t="s">
        <v>1103</v>
      </c>
      <c r="E128" s="103">
        <v>78.97</v>
      </c>
      <c r="F128" s="266">
        <v>11.8</v>
      </c>
      <c r="G128" s="109">
        <f t="shared" si="4"/>
        <v>931.846</v>
      </c>
      <c r="H128" s="150">
        <f t="shared" si="5"/>
        <v>3214.8687</v>
      </c>
      <c r="I128" s="150">
        <f t="shared" si="6"/>
        <v>4822.3030499999995</v>
      </c>
      <c r="J128" s="13"/>
      <c r="K128" s="48">
        <f t="shared" si="7"/>
        <v>707.2711140000001</v>
      </c>
    </row>
    <row r="129" spans="1:11" ht="15.75" hidden="1">
      <c r="A129" s="45"/>
      <c r="B129" s="157" t="s">
        <v>664</v>
      </c>
      <c r="C129" s="218"/>
      <c r="D129" s="233" t="s">
        <v>1103</v>
      </c>
      <c r="E129" s="103">
        <v>78.97</v>
      </c>
      <c r="F129" s="255">
        <v>13.4</v>
      </c>
      <c r="G129" s="105">
        <f t="shared" si="4"/>
        <v>1058.198</v>
      </c>
      <c r="H129" s="106">
        <f t="shared" si="5"/>
        <v>3650.7831000000006</v>
      </c>
      <c r="I129" s="106">
        <f t="shared" si="6"/>
        <v>5476.174650000001</v>
      </c>
      <c r="J129" s="45"/>
      <c r="K129" s="48">
        <f t="shared" si="7"/>
        <v>803.1722820000002</v>
      </c>
    </row>
    <row r="130" spans="1:11" ht="15.75" hidden="1">
      <c r="A130" s="24" t="s">
        <v>1016</v>
      </c>
      <c r="B130" s="703" t="s">
        <v>665</v>
      </c>
      <c r="C130" s="24" t="s">
        <v>1147</v>
      </c>
      <c r="D130" s="265" t="s">
        <v>1103</v>
      </c>
      <c r="E130" s="103">
        <v>78.97</v>
      </c>
      <c r="F130" s="48">
        <v>0.5</v>
      </c>
      <c r="G130" s="48">
        <f t="shared" si="4"/>
        <v>39.485</v>
      </c>
      <c r="H130" s="48">
        <f>(G130+G131)*3.45</f>
        <v>272.4465</v>
      </c>
      <c r="I130" s="48">
        <f t="shared" si="6"/>
        <v>408.66975</v>
      </c>
      <c r="J130" s="24"/>
      <c r="K130" s="48">
        <f t="shared" si="7"/>
        <v>59.93823000000001</v>
      </c>
    </row>
    <row r="131" spans="1:11" ht="15.75" hidden="1">
      <c r="A131" s="45"/>
      <c r="B131" s="704"/>
      <c r="C131" s="45" t="s">
        <v>1148</v>
      </c>
      <c r="D131" s="237" t="s">
        <v>1103</v>
      </c>
      <c r="E131" s="103">
        <v>78.97</v>
      </c>
      <c r="F131" s="47">
        <v>0.5</v>
      </c>
      <c r="G131" s="47">
        <f t="shared" si="4"/>
        <v>39.485</v>
      </c>
      <c r="H131" s="47"/>
      <c r="I131" s="47"/>
      <c r="J131" s="45"/>
      <c r="K131" s="48">
        <f>H131*1.1*0.18</f>
        <v>0</v>
      </c>
    </row>
    <row r="132" spans="1:11" ht="31.5" hidden="1">
      <c r="A132" s="24" t="s">
        <v>1017</v>
      </c>
      <c r="B132" s="153" t="s">
        <v>304</v>
      </c>
      <c r="C132" s="24" t="s">
        <v>154</v>
      </c>
      <c r="D132" s="256" t="s">
        <v>1103</v>
      </c>
      <c r="E132" s="103">
        <v>78.97</v>
      </c>
      <c r="F132" s="103">
        <v>3.4</v>
      </c>
      <c r="G132" s="103">
        <f t="shared" si="4"/>
        <v>268.498</v>
      </c>
      <c r="H132" s="104">
        <f>G132*3.45</f>
        <v>926.3181</v>
      </c>
      <c r="I132" s="104">
        <f>H132*1.25*1.2</f>
        <v>1389.47715</v>
      </c>
      <c r="J132" s="24"/>
      <c r="K132" s="48">
        <f>H132*1.1*0.2</f>
        <v>203.789982</v>
      </c>
    </row>
    <row r="133" spans="1:11" ht="15.75" hidden="1">
      <c r="A133" s="13"/>
      <c r="B133" s="156" t="s">
        <v>268</v>
      </c>
      <c r="C133" s="13"/>
      <c r="D133" s="265" t="s">
        <v>1103</v>
      </c>
      <c r="E133" s="103">
        <v>78.97</v>
      </c>
      <c r="F133" s="109">
        <v>4.5</v>
      </c>
      <c r="G133" s="109">
        <f t="shared" si="4"/>
        <v>355.365</v>
      </c>
      <c r="H133" s="150">
        <f>G133*3.45</f>
        <v>1226.00925</v>
      </c>
      <c r="I133" s="150">
        <f>H133*1.25*1.2</f>
        <v>1839.013875</v>
      </c>
      <c r="J133" s="13"/>
      <c r="K133" s="48">
        <f>H133*1.1*0.2</f>
        <v>269.72203500000006</v>
      </c>
    </row>
    <row r="134" spans="1:11" ht="15.75" hidden="1">
      <c r="A134" s="45"/>
      <c r="B134" s="157" t="s">
        <v>269</v>
      </c>
      <c r="C134" s="45"/>
      <c r="D134" s="257" t="s">
        <v>1103</v>
      </c>
      <c r="E134" s="103">
        <v>78.97</v>
      </c>
      <c r="F134" s="105">
        <v>5.2</v>
      </c>
      <c r="G134" s="105">
        <f t="shared" si="4"/>
        <v>410.644</v>
      </c>
      <c r="H134" s="106">
        <f>G134*3.45</f>
        <v>1416.7218</v>
      </c>
      <c r="I134" s="106">
        <f>H134*1.25*1.2</f>
        <v>2125.0827</v>
      </c>
      <c r="J134" s="45"/>
      <c r="K134" s="48">
        <f>H134*1.1*0.2</f>
        <v>311.67879600000003</v>
      </c>
    </row>
  </sheetData>
  <sheetProtection/>
  <autoFilter ref="A84:K134"/>
  <mergeCells count="18">
    <mergeCell ref="B80:B81"/>
    <mergeCell ref="B130:B131"/>
    <mergeCell ref="B37:B38"/>
    <mergeCell ref="B39:B40"/>
    <mergeCell ref="B42:B43"/>
    <mergeCell ref="B78:B79"/>
    <mergeCell ref="B24:B25"/>
    <mergeCell ref="B26:B27"/>
    <mergeCell ref="B28:B29"/>
    <mergeCell ref="B31:B32"/>
    <mergeCell ref="B33:B34"/>
    <mergeCell ref="B35:B36"/>
    <mergeCell ref="B8:B9"/>
    <mergeCell ref="B10:B11"/>
    <mergeCell ref="B12:B13"/>
    <mergeCell ref="B14:B15"/>
    <mergeCell ref="B20:B21"/>
    <mergeCell ref="B22:B23"/>
  </mergeCells>
  <printOptions/>
  <pageMargins left="0.3937007874015748" right="0.1968503937007874" top="0.1968503937007874" bottom="0.1968503937007874" header="0.5118110236220472" footer="0.5118110236220472"/>
  <pageSetup fitToHeight="10" horizontalDpi="600" verticalDpi="600" orientation="portrait" paperSize="9" scale="69" r:id="rId1"/>
  <rowBreaks count="2" manualBreakCount="2">
    <brk id="34" max="13" man="1"/>
    <brk id="8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11"/>
  <sheetViews>
    <sheetView view="pageBreakPreview" zoomScaleSheetLayoutView="100" zoomScalePageLayoutView="0" workbookViewId="0" topLeftCell="A1">
      <pane ySplit="7" topLeftCell="A303" activePane="bottomLeft" state="frozen"/>
      <selection pane="topLeft" activeCell="E52" sqref="E52"/>
      <selection pane="bottomLeft" activeCell="J265" sqref="J265"/>
    </sheetView>
  </sheetViews>
  <sheetFormatPr defaultColWidth="9.00390625" defaultRowHeight="12.75"/>
  <cols>
    <col min="1" max="1" width="9.125" style="132" customWidth="1"/>
    <col min="2" max="2" width="55.625" style="3" customWidth="1"/>
    <col min="3" max="3" width="13.375" style="3" customWidth="1"/>
    <col min="4" max="4" width="13.375" style="3" hidden="1" customWidth="1"/>
    <col min="5" max="5" width="13.375" style="537" hidden="1" customWidth="1"/>
    <col min="6" max="8" width="13.375" style="425" hidden="1" customWidth="1"/>
    <col min="9" max="10" width="13.375" style="425" customWidth="1"/>
    <col min="11" max="12" width="13.375" style="425" hidden="1" customWidth="1"/>
    <col min="13" max="13" width="10.875" style="3" hidden="1" customWidth="1"/>
    <col min="14" max="14" width="11.25390625" style="3" hidden="1" customWidth="1"/>
    <col min="15" max="16" width="8.625" style="3" hidden="1" customWidth="1"/>
    <col min="17" max="17" width="9.125" style="3" hidden="1" customWidth="1"/>
    <col min="18" max="18" width="12.00390625" style="3" hidden="1" customWidth="1"/>
    <col min="19" max="19" width="11.875" style="3" hidden="1" customWidth="1"/>
    <col min="20" max="16384" width="9.125" style="3" customWidth="1"/>
  </cols>
  <sheetData>
    <row r="1" spans="1:12" ht="15.75">
      <c r="A1" s="604" t="s">
        <v>418</v>
      </c>
      <c r="B1" s="604"/>
      <c r="C1" s="604"/>
      <c r="D1" s="604"/>
      <c r="E1" s="604"/>
      <c r="F1" s="604"/>
      <c r="G1" s="604"/>
      <c r="H1" s="604"/>
      <c r="I1" s="604"/>
      <c r="J1" s="604"/>
      <c r="K1" s="413"/>
      <c r="L1" s="413"/>
    </row>
    <row r="2" spans="1:12" ht="15.75">
      <c r="A2" s="604" t="s">
        <v>1166</v>
      </c>
      <c r="B2" s="604"/>
      <c r="C2" s="604"/>
      <c r="D2" s="604"/>
      <c r="E2" s="604"/>
      <c r="F2" s="604"/>
      <c r="G2" s="604"/>
      <c r="H2" s="604"/>
      <c r="I2" s="604"/>
      <c r="J2" s="604"/>
      <c r="K2" s="413"/>
      <c r="L2" s="413"/>
    </row>
    <row r="3" spans="1:12" ht="15.75">
      <c r="A3" s="604" t="s">
        <v>1167</v>
      </c>
      <c r="B3" s="604"/>
      <c r="C3" s="604"/>
      <c r="D3" s="604"/>
      <c r="E3" s="604"/>
      <c r="F3" s="604"/>
      <c r="G3" s="604"/>
      <c r="H3" s="604"/>
      <c r="I3" s="604"/>
      <c r="J3" s="604"/>
      <c r="K3" s="413"/>
      <c r="L3" s="413"/>
    </row>
    <row r="4" ht="15.75">
      <c r="A4" s="131"/>
    </row>
    <row r="5" spans="1:12" ht="15.75">
      <c r="A5" s="604" t="s">
        <v>419</v>
      </c>
      <c r="B5" s="604"/>
      <c r="C5" s="604"/>
      <c r="D5" s="604"/>
      <c r="E5" s="604"/>
      <c r="F5" s="604"/>
      <c r="G5" s="604"/>
      <c r="H5" s="604"/>
      <c r="I5" s="604"/>
      <c r="J5" s="604"/>
      <c r="K5" s="413"/>
      <c r="L5" s="413"/>
    </row>
    <row r="7" spans="1:18" ht="63">
      <c r="A7" s="459" t="s">
        <v>83</v>
      </c>
      <c r="B7" s="371" t="s">
        <v>82</v>
      </c>
      <c r="C7" s="371" t="s">
        <v>77</v>
      </c>
      <c r="D7" s="371" t="s">
        <v>81</v>
      </c>
      <c r="E7" s="477" t="s">
        <v>85</v>
      </c>
      <c r="F7" s="477" t="s">
        <v>78</v>
      </c>
      <c r="G7" s="477" t="s">
        <v>79</v>
      </c>
      <c r="H7" s="477" t="s">
        <v>80</v>
      </c>
      <c r="I7" s="382" t="s">
        <v>843</v>
      </c>
      <c r="J7" s="382" t="s">
        <v>2349</v>
      </c>
      <c r="K7" s="508" t="s">
        <v>2386</v>
      </c>
      <c r="L7" s="468" t="s">
        <v>2385</v>
      </c>
      <c r="M7" s="3" t="s">
        <v>2367</v>
      </c>
      <c r="N7" s="6" t="s">
        <v>2368</v>
      </c>
      <c r="R7" s="3" t="s">
        <v>2370</v>
      </c>
    </row>
    <row r="8" spans="1:19" ht="31.5">
      <c r="A8" s="71" t="s">
        <v>1803</v>
      </c>
      <c r="B8" s="192" t="s">
        <v>1802</v>
      </c>
      <c r="C8" s="60" t="s">
        <v>807</v>
      </c>
      <c r="D8" s="463" t="s">
        <v>1103</v>
      </c>
      <c r="E8" s="422">
        <f>'Тарифные ставки'!$B$5</f>
        <v>137.4825</v>
      </c>
      <c r="F8" s="424">
        <v>0.62</v>
      </c>
      <c r="G8" s="424">
        <f>E8*F8</f>
        <v>85.23915</v>
      </c>
      <c r="H8" s="424">
        <f>G8*'Тарифные ставки'!$B$13</f>
        <v>219.91700699999998</v>
      </c>
      <c r="I8" s="424">
        <f>H8*'Тарифные ставки'!$B$14*'Тарифные ставки'!$B$15</f>
        <v>266.53941248399997</v>
      </c>
      <c r="J8" s="424">
        <f>I8-I8/'Тарифные ставки'!$B$15</f>
        <v>44.423235413999976</v>
      </c>
      <c r="K8" s="424">
        <v>222.9702156</v>
      </c>
      <c r="L8" s="424">
        <f>I8/K8*100-100</f>
        <v>19.54036630711316</v>
      </c>
      <c r="R8" s="360"/>
      <c r="S8" s="361">
        <f>R8/I8*100</f>
        <v>0</v>
      </c>
    </row>
    <row r="9" spans="1:19" ht="31.5">
      <c r="A9" s="126" t="s">
        <v>1152</v>
      </c>
      <c r="B9" s="121" t="s">
        <v>1153</v>
      </c>
      <c r="C9" s="60" t="s">
        <v>807</v>
      </c>
      <c r="D9" s="463" t="s">
        <v>1103</v>
      </c>
      <c r="E9" s="422">
        <f>'Тарифные ставки'!$B$5</f>
        <v>137.4825</v>
      </c>
      <c r="F9" s="424">
        <v>0.74</v>
      </c>
      <c r="G9" s="424">
        <f>E9*F9</f>
        <v>101.73705</v>
      </c>
      <c r="H9" s="424">
        <f>G9*'Тарифные ставки'!$B$13</f>
        <v>262.481589</v>
      </c>
      <c r="I9" s="424">
        <f>H9*'Тарифные ставки'!$B$14*'Тарифные ставки'!$B$15</f>
        <v>318.12768586799996</v>
      </c>
      <c r="J9" s="424">
        <f>I9-I9/'Тарифные ставки'!$B$15</f>
        <v>53.02128097799999</v>
      </c>
      <c r="K9" s="424">
        <v>266.1257412</v>
      </c>
      <c r="L9" s="424">
        <f aca="true" t="shared" si="0" ref="L9:L72">I9/K9*100-100</f>
        <v>19.54036630711316</v>
      </c>
      <c r="M9" s="3">
        <v>233</v>
      </c>
      <c r="N9" s="3">
        <v>356</v>
      </c>
      <c r="O9" s="531">
        <f aca="true" t="shared" si="1" ref="O9:O14">N9/I9*100-100</f>
        <v>11.904752655735322</v>
      </c>
      <c r="P9" s="531">
        <f>M9/I9*100-100</f>
        <v>-26.75896806520693</v>
      </c>
      <c r="R9" s="3">
        <v>233</v>
      </c>
      <c r="S9" s="361">
        <f aca="true" t="shared" si="2" ref="S9:S72">R9/I9*100</f>
        <v>73.24103193479307</v>
      </c>
    </row>
    <row r="10" spans="1:19" ht="31.5">
      <c r="A10" s="126" t="s">
        <v>1154</v>
      </c>
      <c r="B10" s="121" t="s">
        <v>1155</v>
      </c>
      <c r="C10" s="60" t="s">
        <v>807</v>
      </c>
      <c r="D10" s="463" t="s">
        <v>1103</v>
      </c>
      <c r="E10" s="422">
        <f>'Тарифные ставки'!$B$5</f>
        <v>137.4825</v>
      </c>
      <c r="F10" s="424">
        <v>0.86</v>
      </c>
      <c r="G10" s="424">
        <f aca="true" t="shared" si="3" ref="G10:G50">E10*F10</f>
        <v>118.23494999999998</v>
      </c>
      <c r="H10" s="424">
        <f>G10*'Тарифные ставки'!$B$13</f>
        <v>305.04617099999996</v>
      </c>
      <c r="I10" s="424">
        <f>H10*'Тарифные ставки'!$B$14*'Тарифные ставки'!$B$15</f>
        <v>369.7159592519999</v>
      </c>
      <c r="J10" s="424">
        <f>I10-I10/'Тарифные ставки'!$B$15</f>
        <v>61.61932654199995</v>
      </c>
      <c r="K10" s="424">
        <v>309.2812668</v>
      </c>
      <c r="L10" s="424">
        <f t="shared" si="0"/>
        <v>19.540366307113132</v>
      </c>
      <c r="M10" s="3">
        <v>270</v>
      </c>
      <c r="N10" s="3">
        <v>417</v>
      </c>
      <c r="O10" s="531">
        <f t="shared" si="1"/>
        <v>12.789288523996632</v>
      </c>
      <c r="P10" s="531">
        <f aca="true" t="shared" si="4" ref="P10:P16">M10/I10*100-100</f>
        <v>-26.97096426503815</v>
      </c>
      <c r="R10" s="3">
        <v>270</v>
      </c>
      <c r="S10" s="361">
        <f t="shared" si="2"/>
        <v>73.02903573496185</v>
      </c>
    </row>
    <row r="11" spans="1:19" ht="31.5">
      <c r="A11" s="126" t="s">
        <v>1156</v>
      </c>
      <c r="B11" s="121" t="s">
        <v>1157</v>
      </c>
      <c r="C11" s="60" t="s">
        <v>807</v>
      </c>
      <c r="D11" s="463" t="s">
        <v>1103</v>
      </c>
      <c r="E11" s="422">
        <f>'Тарифные ставки'!$B$5</f>
        <v>137.4825</v>
      </c>
      <c r="F11" s="424">
        <v>0.98</v>
      </c>
      <c r="G11" s="424">
        <f t="shared" si="3"/>
        <v>134.73284999999998</v>
      </c>
      <c r="H11" s="424">
        <f>G11*'Тарифные ставки'!$B$13</f>
        <v>347.610753</v>
      </c>
      <c r="I11" s="424">
        <f>H11*'Тарифные ставки'!$B$14*'Тарифные ставки'!$B$15</f>
        <v>421.30423263599994</v>
      </c>
      <c r="J11" s="424">
        <f>I11-I11/'Тарифные ставки'!$B$15</f>
        <v>70.21737210599997</v>
      </c>
      <c r="K11" s="424">
        <v>352.4367924</v>
      </c>
      <c r="L11" s="424">
        <f t="shared" si="0"/>
        <v>19.54036630711316</v>
      </c>
      <c r="M11" s="3">
        <v>307</v>
      </c>
      <c r="N11" s="3">
        <v>480</v>
      </c>
      <c r="O11" s="531">
        <f t="shared" si="1"/>
        <v>13.931919695359966</v>
      </c>
      <c r="P11" s="531">
        <f t="shared" si="4"/>
        <v>-27.13104302817601</v>
      </c>
      <c r="R11" s="3">
        <v>307</v>
      </c>
      <c r="S11" s="361">
        <f t="shared" si="2"/>
        <v>72.86895697182399</v>
      </c>
    </row>
    <row r="12" spans="1:19" ht="55.5" customHeight="1">
      <c r="A12" s="126" t="s">
        <v>1158</v>
      </c>
      <c r="B12" s="121" t="s">
        <v>2471</v>
      </c>
      <c r="C12" s="60" t="s">
        <v>813</v>
      </c>
      <c r="D12" s="463" t="s">
        <v>1103</v>
      </c>
      <c r="E12" s="422">
        <f>'Тарифные ставки'!$B$5</f>
        <v>137.4825</v>
      </c>
      <c r="F12" s="424">
        <v>0.81</v>
      </c>
      <c r="G12" s="424">
        <f t="shared" si="3"/>
        <v>111.36082499999999</v>
      </c>
      <c r="H12" s="424">
        <f>G12*'Тарифные ставки'!$B$13</f>
        <v>287.3109285</v>
      </c>
      <c r="I12" s="424">
        <f>H12*'Тарифные ставки'!$B$14*'Тарифные ставки'!$B$15</f>
        <v>348.22084534199996</v>
      </c>
      <c r="J12" s="424">
        <f>I12-I12/'Тарифные ставки'!$B$15</f>
        <v>58.036807556999975</v>
      </c>
      <c r="K12" s="424">
        <v>291.2997978000001</v>
      </c>
      <c r="L12" s="424">
        <f t="shared" si="0"/>
        <v>19.540366307113132</v>
      </c>
      <c r="M12" s="3">
        <v>254</v>
      </c>
      <c r="N12" s="3">
        <v>455</v>
      </c>
      <c r="O12" s="531">
        <f t="shared" si="1"/>
        <v>30.664205226751562</v>
      </c>
      <c r="P12" s="531">
        <f t="shared" si="4"/>
        <v>-27.057784334956267</v>
      </c>
      <c r="R12" s="3">
        <v>254</v>
      </c>
      <c r="S12" s="361">
        <f t="shared" si="2"/>
        <v>72.94221566504373</v>
      </c>
    </row>
    <row r="13" spans="1:19" ht="47.25">
      <c r="A13" s="126" t="s">
        <v>2051</v>
      </c>
      <c r="B13" s="121" t="s">
        <v>2472</v>
      </c>
      <c r="C13" s="60" t="s">
        <v>813</v>
      </c>
      <c r="D13" s="463" t="s">
        <v>1103</v>
      </c>
      <c r="E13" s="422">
        <f>'Тарифные ставки'!$B$5</f>
        <v>137.4825</v>
      </c>
      <c r="F13" s="424">
        <v>0.95</v>
      </c>
      <c r="G13" s="424">
        <f t="shared" si="3"/>
        <v>130.608375</v>
      </c>
      <c r="H13" s="424">
        <f>G13*'Тарифные ставки'!$B$13</f>
        <v>336.9696075</v>
      </c>
      <c r="I13" s="424">
        <f>H13*'Тарифные ставки'!$B$14*'Тарифные ставки'!$B$15</f>
        <v>408.40716428999997</v>
      </c>
      <c r="J13" s="424">
        <f>I13-I13/'Тарифные ставки'!$B$15</f>
        <v>68.067860715</v>
      </c>
      <c r="K13" s="424">
        <v>341.64791099999997</v>
      </c>
      <c r="L13" s="424">
        <f t="shared" si="0"/>
        <v>19.540366307113175</v>
      </c>
      <c r="M13" s="3">
        <v>298</v>
      </c>
      <c r="N13" s="3">
        <v>534</v>
      </c>
      <c r="O13" s="531">
        <f t="shared" si="1"/>
        <v>30.751868892490734</v>
      </c>
      <c r="P13" s="531">
        <f t="shared" si="4"/>
        <v>-27.033601254752355</v>
      </c>
      <c r="R13" s="3">
        <v>298</v>
      </c>
      <c r="S13" s="361">
        <f t="shared" si="2"/>
        <v>72.96639874524764</v>
      </c>
    </row>
    <row r="14" spans="1:19" ht="47.25">
      <c r="A14" s="126" t="s">
        <v>1257</v>
      </c>
      <c r="B14" s="121" t="s">
        <v>2473</v>
      </c>
      <c r="C14" s="60" t="s">
        <v>813</v>
      </c>
      <c r="D14" s="463" t="s">
        <v>1103</v>
      </c>
      <c r="E14" s="422">
        <f>'Тарифные ставки'!$B$5</f>
        <v>137.4825</v>
      </c>
      <c r="F14" s="424">
        <v>1.08</v>
      </c>
      <c r="G14" s="424">
        <f t="shared" si="3"/>
        <v>148.4811</v>
      </c>
      <c r="H14" s="424">
        <f>G14*'Тарифные ставки'!$B$13</f>
        <v>383.081238</v>
      </c>
      <c r="I14" s="424">
        <f>H14*'Тарифные ставки'!$B$14*'Тарифные ставки'!$B$15</f>
        <v>464.29446045599997</v>
      </c>
      <c r="J14" s="424">
        <f>I14-I14/'Тарифные ставки'!$B$15</f>
        <v>77.38241007599999</v>
      </c>
      <c r="K14" s="424">
        <v>388.39973040000007</v>
      </c>
      <c r="L14" s="424">
        <f t="shared" si="0"/>
        <v>19.54036630711316</v>
      </c>
      <c r="M14" s="3">
        <v>340</v>
      </c>
      <c r="N14" s="3">
        <v>606</v>
      </c>
      <c r="O14" s="531">
        <f t="shared" si="1"/>
        <v>30.520618188040828</v>
      </c>
      <c r="P14" s="531">
        <f t="shared" si="4"/>
        <v>-26.77061025753484</v>
      </c>
      <c r="R14" s="3">
        <v>340</v>
      </c>
      <c r="S14" s="361">
        <f t="shared" si="2"/>
        <v>73.22938974246516</v>
      </c>
    </row>
    <row r="15" spans="1:19" ht="31.5">
      <c r="A15" s="126" t="s">
        <v>1258</v>
      </c>
      <c r="B15" s="121" t="s">
        <v>1259</v>
      </c>
      <c r="C15" s="60" t="s">
        <v>813</v>
      </c>
      <c r="D15" s="463" t="s">
        <v>1103</v>
      </c>
      <c r="E15" s="422">
        <f>'Тарифные ставки'!$B$5</f>
        <v>137.4825</v>
      </c>
      <c r="F15" s="424">
        <v>1.07</v>
      </c>
      <c r="G15" s="424">
        <f t="shared" si="3"/>
        <v>147.10627499999998</v>
      </c>
      <c r="H15" s="424">
        <f>G15*'Тарифные ставки'!$B$13</f>
        <v>379.53418949999997</v>
      </c>
      <c r="I15" s="424">
        <f>H15*'Тарифные ставки'!$B$14*'Тарифные ставки'!$B$15</f>
        <v>459.9954376739999</v>
      </c>
      <c r="J15" s="424">
        <f>I15-I15/'Тарифные ставки'!$B$15</f>
        <v>76.66590627899996</v>
      </c>
      <c r="K15" s="424">
        <v>384.80343660000005</v>
      </c>
      <c r="L15" s="424">
        <f t="shared" si="0"/>
        <v>19.540366307113132</v>
      </c>
      <c r="M15" s="3">
        <v>336</v>
      </c>
      <c r="O15" s="531"/>
      <c r="P15" s="531">
        <f t="shared" si="4"/>
        <v>-26.95579727942342</v>
      </c>
      <c r="R15" s="3">
        <v>336</v>
      </c>
      <c r="S15" s="361">
        <f t="shared" si="2"/>
        <v>73.04420272057658</v>
      </c>
    </row>
    <row r="16" spans="1:19" ht="31.5">
      <c r="A16" s="126" t="s">
        <v>1260</v>
      </c>
      <c r="B16" s="121" t="s">
        <v>1261</v>
      </c>
      <c r="C16" s="60" t="s">
        <v>813</v>
      </c>
      <c r="D16" s="463" t="s">
        <v>1103</v>
      </c>
      <c r="E16" s="422">
        <f>'Тарифные ставки'!$B$5</f>
        <v>137.4825</v>
      </c>
      <c r="F16" s="424">
        <v>1.18</v>
      </c>
      <c r="G16" s="424">
        <f t="shared" si="3"/>
        <v>162.22934999999998</v>
      </c>
      <c r="H16" s="424">
        <f>G16*'Тарифные ставки'!$B$13</f>
        <v>418.551723</v>
      </c>
      <c r="I16" s="424">
        <f>H16*'Тарифные ставки'!$B$14*'Тарифные ставки'!$B$15</f>
        <v>507.284688276</v>
      </c>
      <c r="J16" s="424">
        <f>I16-I16/'Тарифные ставки'!$B$15</f>
        <v>84.547448046</v>
      </c>
      <c r="K16" s="424">
        <v>424.3626684</v>
      </c>
      <c r="L16" s="424">
        <f t="shared" si="0"/>
        <v>19.540366307113175</v>
      </c>
      <c r="M16" s="3">
        <v>370</v>
      </c>
      <c r="O16" s="531"/>
      <c r="P16" s="531">
        <f t="shared" si="4"/>
        <v>-27.062651692200717</v>
      </c>
      <c r="R16" s="3">
        <v>370</v>
      </c>
      <c r="S16" s="361">
        <f t="shared" si="2"/>
        <v>72.93734830779928</v>
      </c>
    </row>
    <row r="17" spans="1:19" ht="31.5">
      <c r="A17" s="126" t="s">
        <v>1262</v>
      </c>
      <c r="B17" s="121" t="s">
        <v>1263</v>
      </c>
      <c r="C17" s="60" t="s">
        <v>813</v>
      </c>
      <c r="D17" s="463" t="s">
        <v>1103</v>
      </c>
      <c r="E17" s="422">
        <f>'Тарифные ставки'!$B$5</f>
        <v>137.4825</v>
      </c>
      <c r="F17" s="424">
        <v>1.3</v>
      </c>
      <c r="G17" s="424">
        <f t="shared" si="3"/>
        <v>178.72725</v>
      </c>
      <c r="H17" s="424">
        <f>G17*'Тарифные ставки'!$B$13</f>
        <v>461.116305</v>
      </c>
      <c r="I17" s="424">
        <f>H17*'Тарифные ставки'!$B$14*'Тарифные ставки'!$B$15</f>
        <v>558.87296166</v>
      </c>
      <c r="J17" s="424">
        <f>I17-I17/'Тарифные ставки'!$B$15</f>
        <v>93.14549360999996</v>
      </c>
      <c r="K17" s="424">
        <v>467.518194</v>
      </c>
      <c r="L17" s="424">
        <f t="shared" si="0"/>
        <v>19.540366307113175</v>
      </c>
      <c r="M17" s="3">
        <v>409</v>
      </c>
      <c r="O17" s="531"/>
      <c r="P17" s="531"/>
      <c r="R17" s="3">
        <v>409</v>
      </c>
      <c r="S17" s="361">
        <f t="shared" si="2"/>
        <v>73.18300008380477</v>
      </c>
    </row>
    <row r="18" spans="1:19" ht="15.75">
      <c r="A18" s="126" t="s">
        <v>1264</v>
      </c>
      <c r="B18" s="121" t="s">
        <v>1265</v>
      </c>
      <c r="C18" s="60" t="s">
        <v>813</v>
      </c>
      <c r="D18" s="463" t="s">
        <v>1103</v>
      </c>
      <c r="E18" s="422">
        <f>'Тарифные ставки'!$B$5</f>
        <v>137.4825</v>
      </c>
      <c r="F18" s="424">
        <v>0.32</v>
      </c>
      <c r="G18" s="424">
        <f t="shared" si="3"/>
        <v>43.9944</v>
      </c>
      <c r="H18" s="424">
        <f>G18*'Тарифные ставки'!$B$13</f>
        <v>113.505552</v>
      </c>
      <c r="I18" s="424">
        <f>H18*'Тарифные ставки'!$B$14*'Тарифные ставки'!$B$15</f>
        <v>137.568729024</v>
      </c>
      <c r="J18" s="424">
        <f>I18-I18/'Тарифные ставки'!$B$15</f>
        <v>22.92812150399999</v>
      </c>
      <c r="K18" s="424">
        <v>115.08140159999999</v>
      </c>
      <c r="L18" s="424">
        <f t="shared" si="0"/>
        <v>19.540366307113175</v>
      </c>
      <c r="S18" s="361">
        <f t="shared" si="2"/>
        <v>0</v>
      </c>
    </row>
    <row r="19" spans="1:19" ht="31.5">
      <c r="A19" s="126" t="s">
        <v>1266</v>
      </c>
      <c r="B19" s="121" t="s">
        <v>1267</v>
      </c>
      <c r="C19" s="60" t="s">
        <v>814</v>
      </c>
      <c r="D19" s="463" t="s">
        <v>1103</v>
      </c>
      <c r="E19" s="422">
        <f>'Тарифные ставки'!$B$5</f>
        <v>137.4825</v>
      </c>
      <c r="F19" s="424">
        <v>1.3</v>
      </c>
      <c r="G19" s="424">
        <f t="shared" si="3"/>
        <v>178.72725</v>
      </c>
      <c r="H19" s="424">
        <f>G19*'Тарифные ставки'!$B$13</f>
        <v>461.116305</v>
      </c>
      <c r="I19" s="424">
        <f>H19*'Тарифные ставки'!$B$14*'Тарифные ставки'!$B$15</f>
        <v>558.87296166</v>
      </c>
      <c r="J19" s="424">
        <f>I19-I19/'Тарифные ставки'!$B$15</f>
        <v>93.14549360999996</v>
      </c>
      <c r="K19" s="424">
        <v>467.518194</v>
      </c>
      <c r="L19" s="424">
        <f t="shared" si="0"/>
        <v>19.540366307113175</v>
      </c>
      <c r="M19" s="3">
        <v>518</v>
      </c>
      <c r="R19" s="3">
        <v>518</v>
      </c>
      <c r="S19" s="361">
        <f t="shared" si="2"/>
        <v>92.68653800344956</v>
      </c>
    </row>
    <row r="20" spans="1:19" ht="31.5">
      <c r="A20" s="126" t="s">
        <v>1268</v>
      </c>
      <c r="B20" s="121" t="s">
        <v>1269</v>
      </c>
      <c r="C20" s="60" t="s">
        <v>814</v>
      </c>
      <c r="D20" s="463" t="s">
        <v>1103</v>
      </c>
      <c r="E20" s="422">
        <f>'Тарифные ставки'!$B$5</f>
        <v>137.4825</v>
      </c>
      <c r="F20" s="424">
        <v>1.08</v>
      </c>
      <c r="G20" s="424">
        <f t="shared" si="3"/>
        <v>148.4811</v>
      </c>
      <c r="H20" s="424">
        <f>G20*'Тарифные ставки'!$B$13</f>
        <v>383.081238</v>
      </c>
      <c r="I20" s="424">
        <f>H20*'Тарифные ставки'!$B$14*'Тарифные ставки'!$B$15</f>
        <v>464.29446045599997</v>
      </c>
      <c r="J20" s="424">
        <f>I20-I20/'Тарифные ставки'!$B$15</f>
        <v>77.38241007599999</v>
      </c>
      <c r="K20" s="424">
        <v>388.39973040000007</v>
      </c>
      <c r="L20" s="424">
        <f t="shared" si="0"/>
        <v>19.54036630711316</v>
      </c>
      <c r="S20" s="361">
        <f t="shared" si="2"/>
        <v>0</v>
      </c>
    </row>
    <row r="21" spans="1:19" ht="47.25">
      <c r="A21" s="126" t="s">
        <v>1270</v>
      </c>
      <c r="B21" s="121" t="s">
        <v>1271</v>
      </c>
      <c r="C21" s="60" t="s">
        <v>814</v>
      </c>
      <c r="D21" s="463" t="s">
        <v>1103</v>
      </c>
      <c r="E21" s="422">
        <f>'Тарифные ставки'!$B$5</f>
        <v>137.4825</v>
      </c>
      <c r="F21" s="424">
        <v>1.24</v>
      </c>
      <c r="G21" s="424">
        <f t="shared" si="3"/>
        <v>170.4783</v>
      </c>
      <c r="H21" s="424">
        <f>G21*'Тарифные ставки'!$B$13</f>
        <v>439.83401399999997</v>
      </c>
      <c r="I21" s="424">
        <f>H21*'Тарифные ставки'!$B$14*'Тарифные ставки'!$B$15</f>
        <v>533.0788249679999</v>
      </c>
      <c r="J21" s="424">
        <f>I21-I21/'Тарифные ставки'!$B$15</f>
        <v>88.84647082799995</v>
      </c>
      <c r="K21" s="424">
        <v>445.9404312000001</v>
      </c>
      <c r="L21" s="424">
        <f t="shared" si="0"/>
        <v>19.540366307113132</v>
      </c>
      <c r="M21" s="3">
        <v>495</v>
      </c>
      <c r="R21" s="3">
        <v>495</v>
      </c>
      <c r="S21" s="361">
        <f t="shared" si="2"/>
        <v>92.85681156622836</v>
      </c>
    </row>
    <row r="22" spans="1:19" ht="31.5">
      <c r="A22" s="126" t="s">
        <v>978</v>
      </c>
      <c r="B22" s="121" t="s">
        <v>979</v>
      </c>
      <c r="C22" s="60" t="s">
        <v>814</v>
      </c>
      <c r="D22" s="463" t="s">
        <v>1103</v>
      </c>
      <c r="E22" s="422">
        <f>'Тарифные ставки'!$B$5</f>
        <v>137.4825</v>
      </c>
      <c r="F22" s="424">
        <v>1.39</v>
      </c>
      <c r="G22" s="424">
        <f t="shared" si="3"/>
        <v>191.10067499999997</v>
      </c>
      <c r="H22" s="424">
        <f>G22*'Тарифные ставки'!$B$13</f>
        <v>493.03974149999993</v>
      </c>
      <c r="I22" s="424">
        <f>H22*'Тарифные ставки'!$B$14*'Тарифные ставки'!$B$15</f>
        <v>597.5641666979999</v>
      </c>
      <c r="J22" s="424">
        <f>I22-I22/'Тарифные ставки'!$B$15</f>
        <v>99.59402778299994</v>
      </c>
      <c r="K22" s="424">
        <v>499.88483820000005</v>
      </c>
      <c r="L22" s="424">
        <f t="shared" si="0"/>
        <v>19.540366307113132</v>
      </c>
      <c r="M22" s="3">
        <v>554</v>
      </c>
      <c r="R22" s="3">
        <v>554</v>
      </c>
      <c r="S22" s="361">
        <f t="shared" si="2"/>
        <v>92.7097089943118</v>
      </c>
    </row>
    <row r="23" spans="1:19" ht="47.25">
      <c r="A23" s="126" t="s">
        <v>980</v>
      </c>
      <c r="B23" s="121" t="s">
        <v>981</v>
      </c>
      <c r="C23" s="60" t="s">
        <v>814</v>
      </c>
      <c r="D23" s="463" t="s">
        <v>1103</v>
      </c>
      <c r="E23" s="422">
        <f>'Тарифные ставки'!$B$5</f>
        <v>137.4825</v>
      </c>
      <c r="F23" s="424">
        <v>1.74</v>
      </c>
      <c r="G23" s="424">
        <f t="shared" si="3"/>
        <v>239.21954999999997</v>
      </c>
      <c r="H23" s="424">
        <f>G23*'Тарифные ставки'!$B$13</f>
        <v>617.186439</v>
      </c>
      <c r="I23" s="424">
        <f>H23*'Тарифные ставки'!$B$14*'Тарифные ставки'!$B$15</f>
        <v>748.0299640679999</v>
      </c>
      <c r="J23" s="424">
        <f>I23-I23/'Тарифные ставки'!$B$15</f>
        <v>124.67166067799997</v>
      </c>
      <c r="K23" s="424">
        <v>625.7551212000002</v>
      </c>
      <c r="L23" s="424">
        <f t="shared" si="0"/>
        <v>19.540366307113132</v>
      </c>
      <c r="M23" s="3">
        <v>694</v>
      </c>
      <c r="R23" s="3">
        <v>694</v>
      </c>
      <c r="S23" s="361">
        <f t="shared" si="2"/>
        <v>92.77703211591023</v>
      </c>
    </row>
    <row r="24" spans="1:19" ht="37.5" customHeight="1">
      <c r="A24" s="126" t="s">
        <v>982</v>
      </c>
      <c r="B24" s="121" t="s">
        <v>983</v>
      </c>
      <c r="C24" s="60" t="s">
        <v>814</v>
      </c>
      <c r="D24" s="463" t="s">
        <v>1103</v>
      </c>
      <c r="E24" s="422">
        <f>'Тарифные ставки'!$B$5</f>
        <v>137.4825</v>
      </c>
      <c r="F24" s="424">
        <v>2</v>
      </c>
      <c r="G24" s="424">
        <f t="shared" si="3"/>
        <v>274.965</v>
      </c>
      <c r="H24" s="424">
        <f>G24*'Тарифные ставки'!$B$13</f>
        <v>709.4096999999999</v>
      </c>
      <c r="I24" s="424">
        <f>H24*'Тарифные ставки'!$B$14*'Тарифные ставки'!$B$15</f>
        <v>859.8045563999999</v>
      </c>
      <c r="J24" s="424">
        <f>I24-I24/'Тарифные ставки'!$B$15</f>
        <v>143.30075939999995</v>
      </c>
      <c r="K24" s="424">
        <v>719.25876</v>
      </c>
      <c r="L24" s="424">
        <f t="shared" si="0"/>
        <v>19.54036630711316</v>
      </c>
      <c r="S24" s="361">
        <f t="shared" si="2"/>
        <v>0</v>
      </c>
    </row>
    <row r="25" spans="1:19" ht="31.5">
      <c r="A25" s="126" t="s">
        <v>984</v>
      </c>
      <c r="B25" s="121" t="s">
        <v>985</v>
      </c>
      <c r="C25" s="60" t="s">
        <v>814</v>
      </c>
      <c r="D25" s="463" t="s">
        <v>1103</v>
      </c>
      <c r="E25" s="422">
        <f>'Тарифные ставки'!$B$5</f>
        <v>137.4825</v>
      </c>
      <c r="F25" s="424">
        <v>2.4</v>
      </c>
      <c r="G25" s="424">
        <f t="shared" si="3"/>
        <v>329.95799999999997</v>
      </c>
      <c r="H25" s="424">
        <f>G25*'Тарифные ставки'!$B$13</f>
        <v>851.2916399999999</v>
      </c>
      <c r="I25" s="424">
        <f>H25*'Тарифные ставки'!$B$14*'Тарифные ставки'!$B$15</f>
        <v>1031.7654676799998</v>
      </c>
      <c r="J25" s="424">
        <f>I25-I25/'Тарифные ставки'!$B$15</f>
        <v>171.9609112799999</v>
      </c>
      <c r="K25" s="424">
        <v>863.1105120000002</v>
      </c>
      <c r="L25" s="424">
        <f t="shared" si="0"/>
        <v>19.540366307113132</v>
      </c>
      <c r="M25" s="3">
        <v>957</v>
      </c>
      <c r="R25" s="3">
        <v>957</v>
      </c>
      <c r="S25" s="361">
        <f t="shared" si="2"/>
        <v>92.75363733115478</v>
      </c>
    </row>
    <row r="26" spans="1:19" ht="31.5">
      <c r="A26" s="126" t="s">
        <v>986</v>
      </c>
      <c r="B26" s="121" t="s">
        <v>1404</v>
      </c>
      <c r="C26" s="60" t="s">
        <v>814</v>
      </c>
      <c r="D26" s="463" t="s">
        <v>1103</v>
      </c>
      <c r="E26" s="422">
        <f>'Тарифные ставки'!$B$5</f>
        <v>137.4825</v>
      </c>
      <c r="F26" s="424">
        <v>3.6</v>
      </c>
      <c r="G26" s="424">
        <f t="shared" si="3"/>
        <v>494.93699999999995</v>
      </c>
      <c r="H26" s="424">
        <f>G26*'Тарифные ставки'!$B$13</f>
        <v>1276.9374599999999</v>
      </c>
      <c r="I26" s="424">
        <f>H26*'Тарифные ставки'!$B$14*'Тарифные ставки'!$B$15</f>
        <v>1547.6482015199997</v>
      </c>
      <c r="J26" s="424">
        <f>I26-I26/'Тарифные ставки'!$B$15</f>
        <v>257.94136691999984</v>
      </c>
      <c r="K26" s="424">
        <v>1294.6657680000003</v>
      </c>
      <c r="L26" s="424">
        <f t="shared" si="0"/>
        <v>19.540366307113132</v>
      </c>
      <c r="M26" s="3">
        <v>1433</v>
      </c>
      <c r="R26" s="3">
        <v>1433</v>
      </c>
      <c r="S26" s="361">
        <f t="shared" si="2"/>
        <v>92.59210191260523</v>
      </c>
    </row>
    <row r="27" spans="1:19" ht="31.5">
      <c r="A27" s="126" t="s">
        <v>987</v>
      </c>
      <c r="B27" s="121" t="s">
        <v>988</v>
      </c>
      <c r="C27" s="60" t="s">
        <v>814</v>
      </c>
      <c r="D27" s="463" t="s">
        <v>1103</v>
      </c>
      <c r="E27" s="422">
        <f>'Тарифные ставки'!$B$5</f>
        <v>137.4825</v>
      </c>
      <c r="F27" s="424">
        <v>1.24</v>
      </c>
      <c r="G27" s="424">
        <f t="shared" si="3"/>
        <v>170.4783</v>
      </c>
      <c r="H27" s="424">
        <f>G27*'Тарифные ставки'!$B$13</f>
        <v>439.83401399999997</v>
      </c>
      <c r="I27" s="424">
        <f>H27*'Тарифные ставки'!$B$14*'Тарифные ставки'!$B$15</f>
        <v>533.0788249679999</v>
      </c>
      <c r="J27" s="424">
        <f>I27-I27/'Тарифные ставки'!$B$15</f>
        <v>88.84647082799995</v>
      </c>
      <c r="K27" s="424">
        <v>445.9404312000001</v>
      </c>
      <c r="L27" s="424">
        <f t="shared" si="0"/>
        <v>19.540366307113132</v>
      </c>
      <c r="S27" s="361">
        <f t="shared" si="2"/>
        <v>0</v>
      </c>
    </row>
    <row r="28" spans="1:19" ht="31.5">
      <c r="A28" s="127" t="s">
        <v>1020</v>
      </c>
      <c r="B28" s="122" t="s">
        <v>989</v>
      </c>
      <c r="C28" s="93" t="s">
        <v>1350</v>
      </c>
      <c r="D28" s="463" t="s">
        <v>1103</v>
      </c>
      <c r="E28" s="422">
        <f>'Тарифные ставки'!$B$5</f>
        <v>137.4825</v>
      </c>
      <c r="F28" s="424">
        <v>0.73</v>
      </c>
      <c r="G28" s="424">
        <f t="shared" si="3"/>
        <v>100.362225</v>
      </c>
      <c r="H28" s="424">
        <f>G28*'Тарифные ставки'!$B$13</f>
        <v>258.93454049999997</v>
      </c>
      <c r="I28" s="424">
        <f>H28*'Тарифные ставки'!$B$14*'Тарифные ставки'!$B$15</f>
        <v>313.82866308599995</v>
      </c>
      <c r="J28" s="424">
        <f>I28-I28/'Тарифные ставки'!$B$15</f>
        <v>52.30477718099996</v>
      </c>
      <c r="K28" s="424">
        <v>262.52944740000004</v>
      </c>
      <c r="L28" s="424">
        <f t="shared" si="0"/>
        <v>19.540366307113132</v>
      </c>
      <c r="S28" s="361">
        <f t="shared" si="2"/>
        <v>0</v>
      </c>
    </row>
    <row r="29" spans="1:19" ht="31.5">
      <c r="A29" s="127" t="s">
        <v>990</v>
      </c>
      <c r="B29" s="122" t="s">
        <v>991</v>
      </c>
      <c r="C29" s="93" t="s">
        <v>1350</v>
      </c>
      <c r="D29" s="463" t="s">
        <v>1103</v>
      </c>
      <c r="E29" s="422">
        <f>'Тарифные ставки'!$B$5</f>
        <v>137.4825</v>
      </c>
      <c r="F29" s="424">
        <v>0.6</v>
      </c>
      <c r="G29" s="424">
        <f t="shared" si="3"/>
        <v>82.48949999999999</v>
      </c>
      <c r="H29" s="424">
        <f>G29*'Тарифные ставки'!$B$13</f>
        <v>212.82290999999998</v>
      </c>
      <c r="I29" s="424">
        <f>H29*'Тарифные ставки'!$B$14*'Тарифные ставки'!$B$15</f>
        <v>257.94136691999995</v>
      </c>
      <c r="J29" s="424">
        <f>I29-I29/'Тарифные ставки'!$B$15</f>
        <v>42.99022781999997</v>
      </c>
      <c r="K29" s="424">
        <v>215.77762800000005</v>
      </c>
      <c r="L29" s="424">
        <f t="shared" si="0"/>
        <v>19.540366307113132</v>
      </c>
      <c r="S29" s="361">
        <f t="shared" si="2"/>
        <v>0</v>
      </c>
    </row>
    <row r="30" spans="1:19" ht="63">
      <c r="A30" s="459" t="s">
        <v>83</v>
      </c>
      <c r="B30" s="371" t="s">
        <v>82</v>
      </c>
      <c r="C30" s="371" t="s">
        <v>77</v>
      </c>
      <c r="D30" s="371" t="s">
        <v>81</v>
      </c>
      <c r="E30" s="477" t="s">
        <v>85</v>
      </c>
      <c r="F30" s="477" t="s">
        <v>78</v>
      </c>
      <c r="G30" s="477" t="s">
        <v>79</v>
      </c>
      <c r="H30" s="477" t="s">
        <v>80</v>
      </c>
      <c r="I30" s="382" t="s">
        <v>843</v>
      </c>
      <c r="J30" s="382" t="s">
        <v>2349</v>
      </c>
      <c r="K30" s="535"/>
      <c r="L30" s="538"/>
      <c r="S30" s="361"/>
    </row>
    <row r="31" spans="1:19" ht="63">
      <c r="A31" s="127" t="s">
        <v>992</v>
      </c>
      <c r="B31" s="122" t="s">
        <v>2474</v>
      </c>
      <c r="C31" s="93" t="s">
        <v>811</v>
      </c>
      <c r="D31" s="463" t="s">
        <v>1103</v>
      </c>
      <c r="E31" s="422">
        <f>'Тарифные ставки'!$B$5</f>
        <v>137.4825</v>
      </c>
      <c r="F31" s="424">
        <v>1.44</v>
      </c>
      <c r="G31" s="424">
        <f t="shared" si="3"/>
        <v>197.9748</v>
      </c>
      <c r="H31" s="424">
        <f>G31*'Тарифные ставки'!$B$13</f>
        <v>510.77498399999996</v>
      </c>
      <c r="I31" s="424">
        <f>H31*'Тарифные ставки'!$B$14*'Тарифные ставки'!$B$15</f>
        <v>619.059280608</v>
      </c>
      <c r="J31" s="424">
        <f>I31-I31/'Тарифные ставки'!$B$15</f>
        <v>103.17654676799998</v>
      </c>
      <c r="K31" s="424">
        <v>517.8663071999999</v>
      </c>
      <c r="L31" s="424">
        <f t="shared" si="0"/>
        <v>19.540366307113175</v>
      </c>
      <c r="S31" s="361">
        <f t="shared" si="2"/>
        <v>0</v>
      </c>
    </row>
    <row r="32" spans="1:19" ht="15.75">
      <c r="A32" s="127" t="s">
        <v>1405</v>
      </c>
      <c r="B32" s="122" t="s">
        <v>1022</v>
      </c>
      <c r="C32" s="93" t="s">
        <v>259</v>
      </c>
      <c r="D32" s="463" t="s">
        <v>1103</v>
      </c>
      <c r="E32" s="422">
        <f>'Тарифные ставки'!$B$5</f>
        <v>137.4825</v>
      </c>
      <c r="F32" s="424">
        <v>0.85</v>
      </c>
      <c r="G32" s="424">
        <f>E32*F32</f>
        <v>116.86012499999998</v>
      </c>
      <c r="H32" s="424">
        <f>G32*'Тарифные ставки'!$B$13</f>
        <v>301.49912249999994</v>
      </c>
      <c r="I32" s="424">
        <f>H32*'Тарифные ставки'!$B$14*'Тарифные ставки'!$B$15</f>
        <v>365.41693646999994</v>
      </c>
      <c r="J32" s="424">
        <f>I32-I32/'Тарифные ставки'!$B$15</f>
        <v>60.90282274499998</v>
      </c>
      <c r="K32" s="424">
        <v>305.684973</v>
      </c>
      <c r="L32" s="424">
        <f t="shared" si="0"/>
        <v>19.54036630711316</v>
      </c>
      <c r="S32" s="361">
        <f t="shared" si="2"/>
        <v>0</v>
      </c>
    </row>
    <row r="33" spans="1:19" ht="15.75">
      <c r="A33" s="127" t="s">
        <v>1021</v>
      </c>
      <c r="B33" s="122" t="s">
        <v>1023</v>
      </c>
      <c r="C33" s="93" t="s">
        <v>259</v>
      </c>
      <c r="D33" s="463" t="s">
        <v>1103</v>
      </c>
      <c r="E33" s="422">
        <f>'Тарифные ставки'!$B$5</f>
        <v>137.4825</v>
      </c>
      <c r="F33" s="424">
        <v>0.93</v>
      </c>
      <c r="G33" s="424">
        <f>E33*F33</f>
        <v>127.85872499999999</v>
      </c>
      <c r="H33" s="424">
        <f>G33*'Тарифные ставки'!$B$13</f>
        <v>329.8755105</v>
      </c>
      <c r="I33" s="424">
        <f>H33*'Тарифные ставки'!$B$14*'Тарифные ставки'!$B$15</f>
        <v>399.809118726</v>
      </c>
      <c r="J33" s="424">
        <f>I33-I33/'Тарифные ставки'!$B$15</f>
        <v>66.63485312099999</v>
      </c>
      <c r="K33" s="424">
        <v>334.45532340000005</v>
      </c>
      <c r="L33" s="424">
        <f t="shared" si="0"/>
        <v>19.54036630711316</v>
      </c>
      <c r="S33" s="361">
        <f t="shared" si="2"/>
        <v>0</v>
      </c>
    </row>
    <row r="34" spans="1:19" ht="15.75">
      <c r="A34" s="127" t="s">
        <v>1024</v>
      </c>
      <c r="B34" s="122" t="s">
        <v>2415</v>
      </c>
      <c r="C34" s="93" t="s">
        <v>814</v>
      </c>
      <c r="D34" s="463" t="s">
        <v>1103</v>
      </c>
      <c r="E34" s="422">
        <f>'Тарифные ставки'!$B$5</f>
        <v>137.4825</v>
      </c>
      <c r="F34" s="424">
        <v>0.56</v>
      </c>
      <c r="G34" s="424">
        <f>E34*F34</f>
        <v>76.9902</v>
      </c>
      <c r="H34" s="424">
        <f>G34*'Тарифные ставки'!$B$13</f>
        <v>198.634716</v>
      </c>
      <c r="I34" s="424">
        <f>H34*'Тарифные ставки'!$B$14*'Тарифные ставки'!$B$15</f>
        <v>240.745275792</v>
      </c>
      <c r="J34" s="424">
        <f>I34-I34/'Тарифные ставки'!$B$15</f>
        <v>40.124212631999995</v>
      </c>
      <c r="K34" s="424">
        <v>201.39245280000006</v>
      </c>
      <c r="L34" s="424">
        <f t="shared" si="0"/>
        <v>19.540366307113132</v>
      </c>
      <c r="M34" s="3">
        <v>223</v>
      </c>
      <c r="R34" s="3">
        <v>223</v>
      </c>
      <c r="S34" s="361">
        <f t="shared" si="2"/>
        <v>92.62902429398795</v>
      </c>
    </row>
    <row r="35" spans="1:19" ht="47.25">
      <c r="A35" s="127" t="s">
        <v>1025</v>
      </c>
      <c r="B35" s="122" t="s">
        <v>1027</v>
      </c>
      <c r="C35" s="93" t="s">
        <v>814</v>
      </c>
      <c r="D35" s="463" t="s">
        <v>1103</v>
      </c>
      <c r="E35" s="422">
        <f>'Тарифные ставки'!$B$5</f>
        <v>137.4825</v>
      </c>
      <c r="F35" s="424">
        <v>0.5</v>
      </c>
      <c r="G35" s="424">
        <f>E35*F35</f>
        <v>68.74125</v>
      </c>
      <c r="H35" s="424">
        <f>G35*'Тарифные ставки'!$B$13</f>
        <v>177.35242499999998</v>
      </c>
      <c r="I35" s="424">
        <f>H35*'Тарифные ставки'!$B$14*'Тарифные ставки'!$B$15</f>
        <v>214.95113909999998</v>
      </c>
      <c r="J35" s="424">
        <f>I35-I35/'Тарифные ставки'!$B$15</f>
        <v>35.82518984999999</v>
      </c>
      <c r="K35" s="424">
        <v>179.81469</v>
      </c>
      <c r="L35" s="424">
        <f t="shared" si="0"/>
        <v>19.54036630711316</v>
      </c>
      <c r="M35" s="3">
        <v>199</v>
      </c>
      <c r="R35" s="3">
        <v>199</v>
      </c>
      <c r="S35" s="361">
        <f t="shared" si="2"/>
        <v>92.57917907912126</v>
      </c>
    </row>
    <row r="36" spans="1:19" ht="31.5">
      <c r="A36" s="127" t="s">
        <v>1026</v>
      </c>
      <c r="B36" s="115" t="s">
        <v>993</v>
      </c>
      <c r="C36" s="93" t="s">
        <v>76</v>
      </c>
      <c r="D36" s="463" t="s">
        <v>1103</v>
      </c>
      <c r="E36" s="422">
        <f>'Тарифные ставки'!$B$5</f>
        <v>137.4825</v>
      </c>
      <c r="F36" s="424">
        <v>0.3</v>
      </c>
      <c r="G36" s="424">
        <f t="shared" si="3"/>
        <v>41.244749999999996</v>
      </c>
      <c r="H36" s="424">
        <f>G36*'Тарифные ставки'!$B$13</f>
        <v>106.41145499999999</v>
      </c>
      <c r="I36" s="424">
        <f>H36*'Тарифные ставки'!$B$14*'Тарифные ставки'!$B$15</f>
        <v>128.97068345999998</v>
      </c>
      <c r="J36" s="424">
        <f>I36-I36/'Тарифные ставки'!$B$15</f>
        <v>21.495113909999986</v>
      </c>
      <c r="K36" s="424">
        <v>107.88881400000002</v>
      </c>
      <c r="L36" s="424">
        <f t="shared" si="0"/>
        <v>19.540366307113132</v>
      </c>
      <c r="M36" s="3">
        <v>57</v>
      </c>
      <c r="R36" s="3">
        <v>57</v>
      </c>
      <c r="S36" s="361">
        <f t="shared" si="2"/>
        <v>44.196090515158396</v>
      </c>
    </row>
    <row r="37" spans="1:19" ht="47.25">
      <c r="A37" s="128" t="s">
        <v>2172</v>
      </c>
      <c r="B37" s="123" t="s">
        <v>2475</v>
      </c>
      <c r="C37" s="217" t="s">
        <v>1406</v>
      </c>
      <c r="D37" s="24"/>
      <c r="E37" s="422"/>
      <c r="F37" s="539"/>
      <c r="G37" s="421"/>
      <c r="H37" s="421"/>
      <c r="I37" s="424"/>
      <c r="J37" s="421"/>
      <c r="K37" s="424"/>
      <c r="L37" s="424"/>
      <c r="S37" s="361" t="e">
        <f t="shared" si="2"/>
        <v>#DIV/0!</v>
      </c>
    </row>
    <row r="38" spans="1:19" ht="15.75">
      <c r="A38" s="129"/>
      <c r="B38" s="116" t="s">
        <v>994</v>
      </c>
      <c r="C38" s="215"/>
      <c r="D38" s="461" t="s">
        <v>1103</v>
      </c>
      <c r="E38" s="422">
        <f>'Тарифные ставки'!$B$5</f>
        <v>137.4825</v>
      </c>
      <c r="F38" s="540">
        <v>0.17</v>
      </c>
      <c r="G38" s="419">
        <f t="shared" si="3"/>
        <v>23.372025</v>
      </c>
      <c r="H38" s="424">
        <f>G38*'Тарифные ставки'!$B$13</f>
        <v>60.29982450000001</v>
      </c>
      <c r="I38" s="424">
        <f>H38*'Тарифные ставки'!$B$14*'Тарифные ставки'!$B$15</f>
        <v>73.083387294</v>
      </c>
      <c r="J38" s="419">
        <f>I38-I38/'Тарифные ставки'!$B$15</f>
        <v>12.180564548999996</v>
      </c>
      <c r="K38" s="424">
        <v>61.13699460000001</v>
      </c>
      <c r="L38" s="424">
        <f t="shared" si="0"/>
        <v>19.54036630711316</v>
      </c>
      <c r="M38" s="3">
        <v>59</v>
      </c>
      <c r="R38" s="3">
        <v>59</v>
      </c>
      <c r="S38" s="361">
        <f t="shared" si="2"/>
        <v>80.72970094100137</v>
      </c>
    </row>
    <row r="39" spans="1:19" ht="15.75">
      <c r="A39" s="129"/>
      <c r="B39" s="116" t="s">
        <v>995</v>
      </c>
      <c r="C39" s="215"/>
      <c r="D39" s="461" t="s">
        <v>1103</v>
      </c>
      <c r="E39" s="422">
        <f>'Тарифные ставки'!$B$5</f>
        <v>137.4825</v>
      </c>
      <c r="F39" s="540">
        <v>0.22</v>
      </c>
      <c r="G39" s="419">
        <f t="shared" si="3"/>
        <v>30.246149999999997</v>
      </c>
      <c r="H39" s="424">
        <f>G39*'Тарифные ставки'!$B$13</f>
        <v>78.035067</v>
      </c>
      <c r="I39" s="424">
        <f>H39*'Тарифные ставки'!$B$14*'Тарифные ставки'!$B$15</f>
        <v>94.578501204</v>
      </c>
      <c r="J39" s="419">
        <f>I39-I39/'Тарифные ставки'!$B$15</f>
        <v>15.763083534000003</v>
      </c>
      <c r="K39" s="424">
        <v>79.11846360000001</v>
      </c>
      <c r="L39" s="424">
        <f t="shared" si="0"/>
        <v>19.54036630711316</v>
      </c>
      <c r="M39" s="3">
        <v>75</v>
      </c>
      <c r="R39" s="3">
        <v>75</v>
      </c>
      <c r="S39" s="361">
        <f t="shared" si="2"/>
        <v>79.29920546978178</v>
      </c>
    </row>
    <row r="40" spans="1:19" ht="15.75">
      <c r="A40" s="129"/>
      <c r="B40" s="116" t="s">
        <v>996</v>
      </c>
      <c r="C40" s="215"/>
      <c r="D40" s="461" t="s">
        <v>1103</v>
      </c>
      <c r="E40" s="422">
        <f>'Тарифные ставки'!$B$5</f>
        <v>137.4825</v>
      </c>
      <c r="F40" s="540">
        <v>0.35</v>
      </c>
      <c r="G40" s="419">
        <f>E40*F40</f>
        <v>48.118874999999996</v>
      </c>
      <c r="H40" s="424">
        <f>G40*'Тарифные ставки'!$B$13</f>
        <v>124.14669749999999</v>
      </c>
      <c r="I40" s="424">
        <f>H40*'Тарифные ставки'!$B$14*'Тарифные ставки'!$B$15</f>
        <v>150.46579736999996</v>
      </c>
      <c r="J40" s="419">
        <f>I40-I40/'Тарифные ставки'!$B$15</f>
        <v>25.077632894999994</v>
      </c>
      <c r="K40" s="424">
        <v>125.870283</v>
      </c>
      <c r="L40" s="424">
        <f t="shared" si="0"/>
        <v>19.540366307113132</v>
      </c>
      <c r="M40" s="3">
        <v>122</v>
      </c>
      <c r="R40" s="3">
        <v>122</v>
      </c>
      <c r="S40" s="361">
        <f t="shared" si="2"/>
        <v>81.0815495165312</v>
      </c>
    </row>
    <row r="41" spans="1:19" ht="47.25" customHeight="1">
      <c r="A41" s="353"/>
      <c r="B41" s="597" t="s">
        <v>2414</v>
      </c>
      <c r="C41" s="353"/>
      <c r="D41" s="353"/>
      <c r="E41" s="422"/>
      <c r="F41" s="541"/>
      <c r="G41" s="541"/>
      <c r="H41" s="541"/>
      <c r="I41" s="424"/>
      <c r="J41" s="541"/>
      <c r="K41" s="555"/>
      <c r="L41" s="424"/>
      <c r="S41" s="361"/>
    </row>
    <row r="42" spans="1:19" ht="47.25">
      <c r="A42" s="133" t="s">
        <v>2173</v>
      </c>
      <c r="B42" s="117" t="s">
        <v>997</v>
      </c>
      <c r="C42" s="217" t="s">
        <v>1052</v>
      </c>
      <c r="D42" s="24"/>
      <c r="E42" s="422"/>
      <c r="F42" s="539"/>
      <c r="G42" s="421"/>
      <c r="H42" s="421"/>
      <c r="I42" s="424"/>
      <c r="J42" s="421"/>
      <c r="K42" s="424"/>
      <c r="L42" s="424"/>
      <c r="S42" s="361"/>
    </row>
    <row r="43" spans="1:19" ht="15.75">
      <c r="A43" s="134"/>
      <c r="B43" s="116" t="s">
        <v>998</v>
      </c>
      <c r="C43" s="215"/>
      <c r="D43" s="461" t="s">
        <v>1103</v>
      </c>
      <c r="E43" s="422">
        <f>'Тарифные ставки'!$B$5</f>
        <v>137.4825</v>
      </c>
      <c r="F43" s="540">
        <v>0.52</v>
      </c>
      <c r="G43" s="419">
        <f t="shared" si="3"/>
        <v>71.4909</v>
      </c>
      <c r="H43" s="424">
        <f>G43*'Тарифные ставки'!$B$13</f>
        <v>184.446522</v>
      </c>
      <c r="I43" s="424">
        <f>H43*'Тарифные ставки'!$B$14*'Тарифные ставки'!$B$15</f>
        <v>223.54918466399997</v>
      </c>
      <c r="J43" s="419">
        <f>I43-I43/'Тарифные ставки'!$B$15</f>
        <v>37.25819744399999</v>
      </c>
      <c r="K43" s="424">
        <v>187.0072776</v>
      </c>
      <c r="L43" s="424">
        <f t="shared" si="0"/>
        <v>19.54036630711316</v>
      </c>
      <c r="M43" s="3">
        <v>239</v>
      </c>
      <c r="R43" s="3">
        <v>239</v>
      </c>
      <c r="S43" s="361">
        <f t="shared" si="2"/>
        <v>106.91159547695197</v>
      </c>
    </row>
    <row r="44" spans="1:19" ht="15.75">
      <c r="A44" s="134"/>
      <c r="B44" s="118" t="s">
        <v>999</v>
      </c>
      <c r="C44" s="215"/>
      <c r="D44" s="461" t="s">
        <v>1103</v>
      </c>
      <c r="E44" s="422">
        <f>'Тарифные ставки'!$B$5</f>
        <v>137.4825</v>
      </c>
      <c r="F44" s="540">
        <v>0.6</v>
      </c>
      <c r="G44" s="419">
        <f t="shared" si="3"/>
        <v>82.48949999999999</v>
      </c>
      <c r="H44" s="424">
        <f>G44*'Тарифные ставки'!$B$13</f>
        <v>212.82290999999998</v>
      </c>
      <c r="I44" s="424">
        <f>H44*'Тарифные ставки'!$B$14*'Тарифные ставки'!$B$15</f>
        <v>257.94136691999995</v>
      </c>
      <c r="J44" s="419">
        <f>I44-I44/'Тарифные ставки'!$B$15</f>
        <v>42.99022781999997</v>
      </c>
      <c r="K44" s="424">
        <v>215.77762800000005</v>
      </c>
      <c r="L44" s="424">
        <f t="shared" si="0"/>
        <v>19.540366307113132</v>
      </c>
      <c r="M44" s="3">
        <v>271</v>
      </c>
      <c r="R44" s="3">
        <v>271</v>
      </c>
      <c r="S44" s="361">
        <f t="shared" si="2"/>
        <v>105.06263622463091</v>
      </c>
    </row>
    <row r="45" spans="1:19" ht="15.75">
      <c r="A45" s="134"/>
      <c r="B45" s="118" t="s">
        <v>1000</v>
      </c>
      <c r="C45" s="215"/>
      <c r="D45" s="461" t="s">
        <v>1103</v>
      </c>
      <c r="E45" s="422">
        <f>'Тарифные ставки'!$B$5</f>
        <v>137.4825</v>
      </c>
      <c r="F45" s="540">
        <v>0.72</v>
      </c>
      <c r="G45" s="419">
        <f t="shared" si="3"/>
        <v>98.9874</v>
      </c>
      <c r="H45" s="424">
        <f>G45*'Тарифные ставки'!$B$13</f>
        <v>255.38749199999998</v>
      </c>
      <c r="I45" s="424">
        <f>H45*'Тарифные ставки'!$B$14*'Тарифные ставки'!$B$15</f>
        <v>309.529640304</v>
      </c>
      <c r="J45" s="419">
        <f>I45-I45/'Тарифные ставки'!$B$15</f>
        <v>51.58827338399999</v>
      </c>
      <c r="K45" s="424">
        <v>258.93315359999997</v>
      </c>
      <c r="L45" s="424">
        <f t="shared" si="0"/>
        <v>19.540366307113175</v>
      </c>
      <c r="M45" s="3">
        <v>319</v>
      </c>
      <c r="R45" s="3">
        <v>319</v>
      </c>
      <c r="S45" s="361">
        <f t="shared" si="2"/>
        <v>103.0595970346164</v>
      </c>
    </row>
    <row r="46" spans="1:19" ht="15.75">
      <c r="A46" s="134"/>
      <c r="B46" s="118" t="s">
        <v>1001</v>
      </c>
      <c r="C46" s="215"/>
      <c r="D46" s="461" t="s">
        <v>1103</v>
      </c>
      <c r="E46" s="422">
        <f>'Тарифные ставки'!$B$5</f>
        <v>137.4825</v>
      </c>
      <c r="F46" s="540">
        <v>0.84</v>
      </c>
      <c r="G46" s="419">
        <f t="shared" si="3"/>
        <v>115.48529999999998</v>
      </c>
      <c r="H46" s="424">
        <f>G46*'Тарифные ставки'!$B$13</f>
        <v>297.952074</v>
      </c>
      <c r="I46" s="424">
        <f>H46*'Тарифные ставки'!$B$14*'Тарифные ставки'!$B$15</f>
        <v>361.117913688</v>
      </c>
      <c r="J46" s="419">
        <f>I46-I46/'Тарифные ставки'!$B$15</f>
        <v>60.18631894800001</v>
      </c>
      <c r="K46" s="424">
        <v>302.0886792</v>
      </c>
      <c r="L46" s="424">
        <f t="shared" si="0"/>
        <v>19.540366307113175</v>
      </c>
      <c r="M46" s="3">
        <v>367</v>
      </c>
      <c r="R46" s="3">
        <v>367</v>
      </c>
      <c r="S46" s="361">
        <f t="shared" si="2"/>
        <v>101.62885475603463</v>
      </c>
    </row>
    <row r="47" spans="1:19" ht="63">
      <c r="A47" s="353"/>
      <c r="B47" s="353" t="s">
        <v>2476</v>
      </c>
      <c r="C47" s="353"/>
      <c r="D47" s="353"/>
      <c r="E47" s="422"/>
      <c r="F47" s="541"/>
      <c r="G47" s="541"/>
      <c r="H47" s="541"/>
      <c r="I47" s="424"/>
      <c r="J47" s="541"/>
      <c r="K47" s="555"/>
      <c r="L47" s="424"/>
      <c r="S47" s="361"/>
    </row>
    <row r="48" spans="1:19" ht="45.75" customHeight="1">
      <c r="A48" s="127" t="s">
        <v>2174</v>
      </c>
      <c r="B48" s="122" t="s">
        <v>2477</v>
      </c>
      <c r="C48" s="60" t="s">
        <v>1350</v>
      </c>
      <c r="D48" s="463" t="s">
        <v>1103</v>
      </c>
      <c r="E48" s="422">
        <f>'Тарифные ставки'!$B$5</f>
        <v>137.4825</v>
      </c>
      <c r="F48" s="424">
        <v>0.36</v>
      </c>
      <c r="G48" s="424">
        <f t="shared" si="3"/>
        <v>49.4937</v>
      </c>
      <c r="H48" s="424">
        <f>G48*'Тарифные ставки'!$B$13</f>
        <v>127.69374599999999</v>
      </c>
      <c r="I48" s="424">
        <f>H48*'Тарифные ставки'!$B$14*'Тарифные ставки'!$B$15</f>
        <v>154.764820152</v>
      </c>
      <c r="J48" s="424">
        <f>I48-I48/'Тарифные ставки'!$B$15</f>
        <v>25.794136691999995</v>
      </c>
      <c r="K48" s="424">
        <v>129.46657679999998</v>
      </c>
      <c r="L48" s="424">
        <f t="shared" si="0"/>
        <v>19.540366307113175</v>
      </c>
      <c r="M48" s="3">
        <v>125</v>
      </c>
      <c r="R48" s="3">
        <v>125</v>
      </c>
      <c r="S48" s="361">
        <f t="shared" si="2"/>
        <v>80.76770927477774</v>
      </c>
    </row>
    <row r="49" spans="1:19" ht="37.5" customHeight="1">
      <c r="A49" s="127" t="s">
        <v>2175</v>
      </c>
      <c r="B49" s="122" t="s">
        <v>1002</v>
      </c>
      <c r="C49" s="60" t="s">
        <v>1350</v>
      </c>
      <c r="D49" s="463" t="s">
        <v>1103</v>
      </c>
      <c r="E49" s="422">
        <f>'Тарифные ставки'!$B$5</f>
        <v>137.4825</v>
      </c>
      <c r="F49" s="424">
        <v>0.26</v>
      </c>
      <c r="G49" s="424">
        <f t="shared" si="3"/>
        <v>35.74545</v>
      </c>
      <c r="H49" s="424">
        <f>G49*'Тарифные ставки'!$B$13</f>
        <v>92.223261</v>
      </c>
      <c r="I49" s="424">
        <f>H49*'Тарифные ставки'!$B$14*'Тарифные ставки'!$B$15</f>
        <v>111.77459233199998</v>
      </c>
      <c r="J49" s="424">
        <f>I49-I49/'Тарифные ставки'!$B$15</f>
        <v>18.629098721999995</v>
      </c>
      <c r="K49" s="424">
        <v>93.5036388</v>
      </c>
      <c r="L49" s="424">
        <f t="shared" si="0"/>
        <v>19.54036630711316</v>
      </c>
      <c r="R49" s="3">
        <v>199</v>
      </c>
      <c r="S49" s="361">
        <f t="shared" si="2"/>
        <v>178.03688284446395</v>
      </c>
    </row>
    <row r="50" spans="1:19" ht="47.25">
      <c r="A50" s="127" t="s">
        <v>2176</v>
      </c>
      <c r="B50" s="122" t="s">
        <v>2478</v>
      </c>
      <c r="C50" s="60" t="s">
        <v>1106</v>
      </c>
      <c r="D50" s="463" t="s">
        <v>1103</v>
      </c>
      <c r="E50" s="422">
        <f>'Тарифные ставки'!$B$5</f>
        <v>137.4825</v>
      </c>
      <c r="F50" s="424">
        <v>0.5</v>
      </c>
      <c r="G50" s="424">
        <f t="shared" si="3"/>
        <v>68.74125</v>
      </c>
      <c r="H50" s="424">
        <f>G50*'Тарифные ставки'!$B$13</f>
        <v>177.35242499999998</v>
      </c>
      <c r="I50" s="424">
        <f>H50*'Тарифные ставки'!$B$14*'Тарифные ставки'!$B$15</f>
        <v>214.95113909999998</v>
      </c>
      <c r="J50" s="424">
        <f>I50-I50/'Тарифные ставки'!$B$15</f>
        <v>35.82518984999999</v>
      </c>
      <c r="K50" s="424">
        <v>179.81469</v>
      </c>
      <c r="L50" s="424">
        <f t="shared" si="0"/>
        <v>19.54036630711316</v>
      </c>
      <c r="S50" s="361">
        <f t="shared" si="2"/>
        <v>0</v>
      </c>
    </row>
    <row r="51" spans="1:19" ht="47.25">
      <c r="A51" s="127" t="s">
        <v>2177</v>
      </c>
      <c r="B51" s="122" t="s">
        <v>2479</v>
      </c>
      <c r="C51" s="93" t="s">
        <v>1106</v>
      </c>
      <c r="D51" s="463" t="s">
        <v>1103</v>
      </c>
      <c r="E51" s="422">
        <f>'Тарифные ставки'!$B$5</f>
        <v>137.4825</v>
      </c>
      <c r="F51" s="424">
        <v>0.25</v>
      </c>
      <c r="G51" s="424">
        <f>E51*F51</f>
        <v>34.370625</v>
      </c>
      <c r="H51" s="424">
        <f>G51*'Тарифные ставки'!$B$13</f>
        <v>88.67621249999999</v>
      </c>
      <c r="I51" s="424">
        <f>H51*'Тарифные ставки'!$B$14*'Тарифные ставки'!$B$15</f>
        <v>107.47556954999999</v>
      </c>
      <c r="J51" s="424">
        <f>I51-I51/'Тарифные ставки'!$B$15</f>
        <v>17.912594924999993</v>
      </c>
      <c r="K51" s="424">
        <v>89.907345</v>
      </c>
      <c r="L51" s="424">
        <f t="shared" si="0"/>
        <v>19.54036630711316</v>
      </c>
      <c r="M51" s="3">
        <v>87</v>
      </c>
      <c r="R51" s="3">
        <v>87</v>
      </c>
      <c r="S51" s="361">
        <f t="shared" si="2"/>
        <v>80.94862894355326</v>
      </c>
    </row>
    <row r="52" spans="1:19" ht="15.75" customHeight="1">
      <c r="A52" s="707" t="s">
        <v>2178</v>
      </c>
      <c r="B52" s="707"/>
      <c r="C52" s="707"/>
      <c r="D52" s="707"/>
      <c r="E52" s="707"/>
      <c r="F52" s="707"/>
      <c r="G52" s="707"/>
      <c r="H52" s="707"/>
      <c r="I52" s="707"/>
      <c r="J52" s="707"/>
      <c r="K52" s="542"/>
      <c r="L52" s="538"/>
      <c r="S52" s="361"/>
    </row>
    <row r="53" spans="1:19" ht="15.75" customHeight="1">
      <c r="A53" s="705" t="s">
        <v>2179</v>
      </c>
      <c r="B53" s="705"/>
      <c r="C53" s="705"/>
      <c r="D53" s="705"/>
      <c r="E53" s="705"/>
      <c r="F53" s="705"/>
      <c r="G53" s="705"/>
      <c r="H53" s="705"/>
      <c r="I53" s="705"/>
      <c r="J53" s="705">
        <f>H53*1.1*0.18</f>
        <v>0</v>
      </c>
      <c r="K53" s="542"/>
      <c r="L53" s="538"/>
      <c r="S53" s="361"/>
    </row>
    <row r="54" spans="1:19" ht="15.75" customHeight="1">
      <c r="A54" s="705" t="s">
        <v>1511</v>
      </c>
      <c r="B54" s="705"/>
      <c r="C54" s="705"/>
      <c r="D54" s="705"/>
      <c r="E54" s="705"/>
      <c r="F54" s="705"/>
      <c r="G54" s="705"/>
      <c r="H54" s="705"/>
      <c r="I54" s="705"/>
      <c r="J54" s="705">
        <f>H54*1.1*0.18</f>
        <v>0</v>
      </c>
      <c r="K54" s="542"/>
      <c r="L54" s="538"/>
      <c r="S54" s="361"/>
    </row>
    <row r="55" spans="1:19" ht="15.75" customHeight="1">
      <c r="A55" s="705" t="s">
        <v>1512</v>
      </c>
      <c r="B55" s="705"/>
      <c r="C55" s="705"/>
      <c r="D55" s="705"/>
      <c r="E55" s="705"/>
      <c r="F55" s="705"/>
      <c r="G55" s="705"/>
      <c r="H55" s="705"/>
      <c r="I55" s="705"/>
      <c r="J55" s="705">
        <f>H55*1.1*0.18</f>
        <v>0</v>
      </c>
      <c r="K55" s="542"/>
      <c r="L55" s="538"/>
      <c r="S55" s="361"/>
    </row>
    <row r="56" spans="1:19" ht="15.75" customHeight="1">
      <c r="A56" s="705" t="s">
        <v>1513</v>
      </c>
      <c r="B56" s="705"/>
      <c r="C56" s="705"/>
      <c r="D56" s="705"/>
      <c r="E56" s="705"/>
      <c r="F56" s="705"/>
      <c r="G56" s="705"/>
      <c r="H56" s="705"/>
      <c r="I56" s="705"/>
      <c r="J56" s="705">
        <f>H56*1.1*0.18</f>
        <v>0</v>
      </c>
      <c r="K56" s="542"/>
      <c r="L56" s="538"/>
      <c r="S56" s="361"/>
    </row>
    <row r="57" spans="1:19" ht="15.75">
      <c r="A57" s="131"/>
      <c r="L57" s="538"/>
      <c r="S57" s="361"/>
    </row>
    <row r="58" spans="1:19" ht="15.75">
      <c r="A58" s="604" t="s">
        <v>2358</v>
      </c>
      <c r="B58" s="604"/>
      <c r="C58" s="604"/>
      <c r="D58" s="604"/>
      <c r="E58" s="604"/>
      <c r="F58" s="604"/>
      <c r="G58" s="604"/>
      <c r="H58" s="604"/>
      <c r="I58" s="604"/>
      <c r="J58" s="604">
        <f>H58*1.1*0.18</f>
        <v>0</v>
      </c>
      <c r="K58" s="413"/>
      <c r="L58" s="538"/>
      <c r="S58" s="361"/>
    </row>
    <row r="59" spans="12:19" ht="15.75" hidden="1">
      <c r="L59" s="538"/>
      <c r="S59" s="361"/>
    </row>
    <row r="60" spans="1:19" ht="63">
      <c r="A60" s="459" t="s">
        <v>83</v>
      </c>
      <c r="B60" s="371" t="s">
        <v>82</v>
      </c>
      <c r="C60" s="371" t="s">
        <v>77</v>
      </c>
      <c r="D60" s="371" t="s">
        <v>81</v>
      </c>
      <c r="E60" s="477" t="s">
        <v>85</v>
      </c>
      <c r="F60" s="477" t="s">
        <v>78</v>
      </c>
      <c r="G60" s="477" t="s">
        <v>79</v>
      </c>
      <c r="H60" s="477" t="s">
        <v>80</v>
      </c>
      <c r="I60" s="382" t="s">
        <v>843</v>
      </c>
      <c r="J60" s="382" t="s">
        <v>2349</v>
      </c>
      <c r="K60" s="535"/>
      <c r="L60" s="538"/>
      <c r="S60" s="361"/>
    </row>
    <row r="61" spans="1:19" ht="15.75">
      <c r="A61" s="127"/>
      <c r="B61" s="114" t="s">
        <v>1208</v>
      </c>
      <c r="C61" s="60"/>
      <c r="D61" s="60"/>
      <c r="E61" s="422"/>
      <c r="F61" s="424"/>
      <c r="G61" s="424"/>
      <c r="H61" s="424"/>
      <c r="I61" s="424"/>
      <c r="J61" s="424"/>
      <c r="K61" s="538"/>
      <c r="L61" s="538"/>
      <c r="S61" s="361"/>
    </row>
    <row r="62" spans="1:19" ht="15.75">
      <c r="A62" s="127"/>
      <c r="B62" s="119" t="s">
        <v>2244</v>
      </c>
      <c r="C62" s="60" t="s">
        <v>1108</v>
      </c>
      <c r="D62" s="461" t="s">
        <v>1103</v>
      </c>
      <c r="E62" s="422">
        <f>'Тарифные ставки'!$B$5</f>
        <v>137.4825</v>
      </c>
      <c r="F62" s="398">
        <v>0.4</v>
      </c>
      <c r="G62" s="398">
        <f>E62*F62</f>
        <v>54.992999999999995</v>
      </c>
      <c r="H62" s="424">
        <f>G62*'Тарифные ставки'!$B$13</f>
        <v>141.88194</v>
      </c>
      <c r="I62" s="424">
        <f>H62*'Тарифные ставки'!$B$14*'Тарифные ставки'!$B$15</f>
        <v>171.96091127999998</v>
      </c>
      <c r="J62" s="398">
        <f>I62-I62/'Тарифные ставки'!$B$15</f>
        <v>28.66015188</v>
      </c>
      <c r="K62" s="398">
        <v>143.85175200000003</v>
      </c>
      <c r="L62" s="424">
        <f t="shared" si="0"/>
        <v>19.540366307113132</v>
      </c>
      <c r="M62" s="3">
        <v>146</v>
      </c>
      <c r="R62" s="3">
        <v>146</v>
      </c>
      <c r="S62" s="361">
        <f t="shared" si="2"/>
        <v>84.90301598964638</v>
      </c>
    </row>
    <row r="63" spans="1:19" ht="63">
      <c r="A63" s="459" t="s">
        <v>83</v>
      </c>
      <c r="B63" s="371" t="s">
        <v>82</v>
      </c>
      <c r="C63" s="371" t="s">
        <v>77</v>
      </c>
      <c r="D63" s="371" t="s">
        <v>81</v>
      </c>
      <c r="E63" s="388" t="s">
        <v>85</v>
      </c>
      <c r="F63" s="477" t="s">
        <v>78</v>
      </c>
      <c r="G63" s="477" t="s">
        <v>79</v>
      </c>
      <c r="H63" s="477" t="s">
        <v>80</v>
      </c>
      <c r="I63" s="382" t="s">
        <v>843</v>
      </c>
      <c r="J63" s="382" t="s">
        <v>2349</v>
      </c>
      <c r="K63" s="535"/>
      <c r="L63" s="538"/>
      <c r="S63" s="361"/>
    </row>
    <row r="64" spans="1:19" ht="42.75" customHeight="1">
      <c r="A64" s="127" t="s">
        <v>1109</v>
      </c>
      <c r="B64" s="119" t="s">
        <v>2245</v>
      </c>
      <c r="C64" s="60" t="s">
        <v>807</v>
      </c>
      <c r="D64" s="463" t="s">
        <v>1103</v>
      </c>
      <c r="E64" s="422">
        <f>'Тарифные ставки'!$B$5</f>
        <v>137.4825</v>
      </c>
      <c r="F64" s="424">
        <v>2.5</v>
      </c>
      <c r="G64" s="519">
        <f aca="true" t="shared" si="5" ref="G64:G110">E64*F64</f>
        <v>343.70624999999995</v>
      </c>
      <c r="H64" s="424">
        <f>G64*'Тарифные ставки'!$B$13</f>
        <v>886.7621249999999</v>
      </c>
      <c r="I64" s="424">
        <f>H64*'Тарифные ставки'!$B$14*'Тарифные ставки'!$B$15</f>
        <v>1074.7556954999998</v>
      </c>
      <c r="J64" s="398">
        <f>I64-I64/'Тарифные ставки'!$B$15</f>
        <v>179.12594924999996</v>
      </c>
      <c r="K64" s="398">
        <v>899.0734500000002</v>
      </c>
      <c r="L64" s="424">
        <f t="shared" si="0"/>
        <v>19.540366307113118</v>
      </c>
      <c r="M64" s="3">
        <v>620</v>
      </c>
      <c r="R64" s="3">
        <v>620</v>
      </c>
      <c r="S64" s="361">
        <f t="shared" si="2"/>
        <v>57.687528672417265</v>
      </c>
    </row>
    <row r="65" spans="1:19" ht="20.25" customHeight="1">
      <c r="A65" s="580" t="s">
        <v>1110</v>
      </c>
      <c r="B65" s="119" t="s">
        <v>2246</v>
      </c>
      <c r="C65" s="60" t="s">
        <v>807</v>
      </c>
      <c r="D65" s="463" t="s">
        <v>1103</v>
      </c>
      <c r="E65" s="422">
        <f>'Тарифные ставки'!$B$5</f>
        <v>137.4825</v>
      </c>
      <c r="F65" s="424">
        <v>0.72</v>
      </c>
      <c r="G65" s="399">
        <f t="shared" si="5"/>
        <v>98.9874</v>
      </c>
      <c r="H65" s="424">
        <f>G65*'Тарифные ставки'!$B$13</f>
        <v>255.38749199999998</v>
      </c>
      <c r="I65" s="424">
        <f>H65*'Тарифные ставки'!$B$14*'Тарифные ставки'!$B$15</f>
        <v>309.529640304</v>
      </c>
      <c r="J65" s="398">
        <f>I65-I65/'Тарифные ставки'!$B$15</f>
        <v>51.58827338399999</v>
      </c>
      <c r="K65" s="398">
        <v>258.93315359999997</v>
      </c>
      <c r="L65" s="424">
        <f t="shared" si="0"/>
        <v>19.540366307113175</v>
      </c>
      <c r="S65" s="361">
        <f t="shared" si="2"/>
        <v>0</v>
      </c>
    </row>
    <row r="66" spans="1:19" ht="15.75">
      <c r="A66" s="130" t="s">
        <v>1111</v>
      </c>
      <c r="B66" s="119" t="s">
        <v>2247</v>
      </c>
      <c r="C66" s="60" t="s">
        <v>1115</v>
      </c>
      <c r="D66" s="463" t="s">
        <v>1103</v>
      </c>
      <c r="E66" s="422">
        <f>'Тарифные ставки'!$B$5</f>
        <v>137.4825</v>
      </c>
      <c r="F66" s="424">
        <v>0.29</v>
      </c>
      <c r="G66" s="398">
        <f t="shared" si="5"/>
        <v>39.869924999999995</v>
      </c>
      <c r="H66" s="424">
        <f>G66*'Тарифные ставки'!$B$13</f>
        <v>102.86440649999999</v>
      </c>
      <c r="I66" s="424">
        <f>H66*'Тарифные ставки'!$B$14*'Тарифные ставки'!$B$15</f>
        <v>124.67166067799997</v>
      </c>
      <c r="J66" s="398">
        <f>I66-I66/'Тарифные ставки'!$B$15</f>
        <v>20.778610112999985</v>
      </c>
      <c r="K66" s="398">
        <v>104.29252020000001</v>
      </c>
      <c r="L66" s="424">
        <f t="shared" si="0"/>
        <v>19.540366307113132</v>
      </c>
      <c r="M66" s="3">
        <v>106</v>
      </c>
      <c r="R66" s="3">
        <v>106</v>
      </c>
      <c r="S66" s="361">
        <f t="shared" si="2"/>
        <v>85.02333202553157</v>
      </c>
    </row>
    <row r="67" spans="1:19" ht="15.75">
      <c r="A67" s="130" t="s">
        <v>1112</v>
      </c>
      <c r="B67" s="119" t="s">
        <v>1116</v>
      </c>
      <c r="C67" s="93" t="s">
        <v>1118</v>
      </c>
      <c r="D67" s="463" t="s">
        <v>1103</v>
      </c>
      <c r="E67" s="422">
        <f>'Тарифные ставки'!$B$5</f>
        <v>137.4825</v>
      </c>
      <c r="F67" s="424">
        <v>1.5</v>
      </c>
      <c r="G67" s="398">
        <f t="shared" si="5"/>
        <v>206.22375</v>
      </c>
      <c r="H67" s="424">
        <f>G67*'Тарифные ставки'!$B$13</f>
        <v>532.057275</v>
      </c>
      <c r="I67" s="424">
        <f>H67*'Тарифные ставки'!$B$14*'Тарифные ставки'!$B$15</f>
        <v>644.8534172999999</v>
      </c>
      <c r="J67" s="398">
        <f>I67-I67/'Тарифные ставки'!$B$15</f>
        <v>107.47556954999993</v>
      </c>
      <c r="K67" s="398">
        <v>539.44407</v>
      </c>
      <c r="L67" s="424">
        <f t="shared" si="0"/>
        <v>19.54036630711316</v>
      </c>
      <c r="M67" s="3">
        <v>547</v>
      </c>
      <c r="R67" s="3">
        <v>547</v>
      </c>
      <c r="S67" s="361">
        <f t="shared" si="2"/>
        <v>84.82547898874259</v>
      </c>
    </row>
    <row r="68" spans="1:19" ht="15.75">
      <c r="A68" s="130" t="s">
        <v>1113</v>
      </c>
      <c r="B68" s="119" t="s">
        <v>1117</v>
      </c>
      <c r="C68" s="93" t="s">
        <v>1119</v>
      </c>
      <c r="D68" s="463" t="s">
        <v>1103</v>
      </c>
      <c r="E68" s="422">
        <f>'Тарифные ставки'!$B$5</f>
        <v>137.4825</v>
      </c>
      <c r="F68" s="424">
        <v>0.69</v>
      </c>
      <c r="G68" s="398">
        <f t="shared" si="5"/>
        <v>94.86292499999999</v>
      </c>
      <c r="H68" s="424">
        <f>G68*'Тарифные ставки'!$B$13</f>
        <v>244.7463465</v>
      </c>
      <c r="I68" s="424">
        <f>H68*'Тарифные ставки'!$B$14*'Тарифные ставки'!$B$15</f>
        <v>296.63257195799997</v>
      </c>
      <c r="J68" s="398">
        <f>I68-I68/'Тарифные ставки'!$B$15</f>
        <v>49.438761992999986</v>
      </c>
      <c r="K68" s="398">
        <v>248.1442722</v>
      </c>
      <c r="L68" s="424">
        <f t="shared" si="0"/>
        <v>19.540366307113175</v>
      </c>
      <c r="M68" s="3">
        <v>252</v>
      </c>
      <c r="R68" s="3">
        <v>252</v>
      </c>
      <c r="S68" s="361">
        <f t="shared" si="2"/>
        <v>84.95358359893144</v>
      </c>
    </row>
    <row r="69" spans="1:19" ht="15.75">
      <c r="A69" s="130" t="s">
        <v>1114</v>
      </c>
      <c r="B69" s="119" t="s">
        <v>1120</v>
      </c>
      <c r="C69" s="93" t="s">
        <v>811</v>
      </c>
      <c r="D69" s="463" t="s">
        <v>1103</v>
      </c>
      <c r="E69" s="422">
        <f>'Тарифные ставки'!$B$5</f>
        <v>137.4825</v>
      </c>
      <c r="F69" s="424">
        <v>0.29</v>
      </c>
      <c r="G69" s="398">
        <f t="shared" si="5"/>
        <v>39.869924999999995</v>
      </c>
      <c r="H69" s="424">
        <f>G69*'Тарифные ставки'!$B$13</f>
        <v>102.86440649999999</v>
      </c>
      <c r="I69" s="424">
        <f>H69*'Тарифные ставки'!$B$14*'Тарифные ставки'!$B$15</f>
        <v>124.67166067799997</v>
      </c>
      <c r="J69" s="398">
        <f>I69-I69/'Тарифные ставки'!$B$15</f>
        <v>20.778610112999985</v>
      </c>
      <c r="K69" s="398">
        <v>104.29252020000001</v>
      </c>
      <c r="L69" s="424">
        <f t="shared" si="0"/>
        <v>19.540366307113132</v>
      </c>
      <c r="M69" s="3">
        <v>106</v>
      </c>
      <c r="R69" s="3">
        <v>106</v>
      </c>
      <c r="S69" s="361">
        <f t="shared" si="2"/>
        <v>85.02333202553157</v>
      </c>
    </row>
    <row r="70" spans="1:19" ht="15.75">
      <c r="A70" s="130" t="s">
        <v>1121</v>
      </c>
      <c r="B70" s="119" t="s">
        <v>2248</v>
      </c>
      <c r="C70" s="93" t="s">
        <v>811</v>
      </c>
      <c r="D70" s="463" t="s">
        <v>1103</v>
      </c>
      <c r="E70" s="422">
        <f>'Тарифные ставки'!$B$5</f>
        <v>137.4825</v>
      </c>
      <c r="F70" s="424">
        <v>0.36</v>
      </c>
      <c r="G70" s="398">
        <f t="shared" si="5"/>
        <v>49.4937</v>
      </c>
      <c r="H70" s="424">
        <f>G70*'Тарифные ставки'!$B$13</f>
        <v>127.69374599999999</v>
      </c>
      <c r="I70" s="424">
        <f>H70*'Тарифные ставки'!$B$14*'Тарифные ставки'!$B$15</f>
        <v>154.764820152</v>
      </c>
      <c r="J70" s="399">
        <f>I70-I70/'Тарифные ставки'!$B$15</f>
        <v>25.794136691999995</v>
      </c>
      <c r="K70" s="398">
        <v>129.46657679999998</v>
      </c>
      <c r="L70" s="424">
        <f t="shared" si="0"/>
        <v>19.540366307113175</v>
      </c>
      <c r="M70" s="3">
        <v>131</v>
      </c>
      <c r="R70" s="3">
        <v>131</v>
      </c>
      <c r="S70" s="361">
        <f t="shared" si="2"/>
        <v>84.64455931996707</v>
      </c>
    </row>
    <row r="71" spans="1:19" ht="15.75">
      <c r="A71" s="130" t="s">
        <v>1122</v>
      </c>
      <c r="B71" s="119" t="s">
        <v>2249</v>
      </c>
      <c r="C71" s="93" t="s">
        <v>1125</v>
      </c>
      <c r="D71" s="463" t="s">
        <v>1103</v>
      </c>
      <c r="E71" s="422">
        <f>'Тарифные ставки'!$B$5</f>
        <v>137.4825</v>
      </c>
      <c r="F71" s="424">
        <v>0.15</v>
      </c>
      <c r="G71" s="398">
        <f t="shared" si="5"/>
        <v>20.622374999999998</v>
      </c>
      <c r="H71" s="424">
        <f>G71*'Тарифные ставки'!$B$13</f>
        <v>53.205727499999995</v>
      </c>
      <c r="I71" s="424">
        <f>H71*'Тарифные ставки'!$B$14*'Тарифные ставки'!$B$15</f>
        <v>64.48534172999999</v>
      </c>
      <c r="J71" s="398">
        <f>I71-I71/'Тарифные ставки'!$B$15</f>
        <v>10.747556954999993</v>
      </c>
      <c r="K71" s="398">
        <v>53.94440700000001</v>
      </c>
      <c r="L71" s="424">
        <f t="shared" si="0"/>
        <v>19.540366307113132</v>
      </c>
      <c r="M71" s="3">
        <v>55</v>
      </c>
      <c r="S71" s="361">
        <f t="shared" si="2"/>
        <v>0</v>
      </c>
    </row>
    <row r="72" spans="1:19" ht="15.75">
      <c r="A72" s="130" t="s">
        <v>1123</v>
      </c>
      <c r="B72" s="119" t="s">
        <v>1124</v>
      </c>
      <c r="C72" s="93" t="s">
        <v>1126</v>
      </c>
      <c r="D72" s="463" t="s">
        <v>1103</v>
      </c>
      <c r="E72" s="422">
        <f>'Тарифные ставки'!$B$5</f>
        <v>137.4825</v>
      </c>
      <c r="F72" s="424">
        <v>0.2</v>
      </c>
      <c r="G72" s="398">
        <f t="shared" si="5"/>
        <v>27.496499999999997</v>
      </c>
      <c r="H72" s="424">
        <f>G72*'Тарифные ставки'!$B$13</f>
        <v>70.94097</v>
      </c>
      <c r="I72" s="424">
        <f>H72*'Тарифные ставки'!$B$14*'Тарифные ставки'!$B$15</f>
        <v>85.98045563999999</v>
      </c>
      <c r="J72" s="398">
        <f>I72-I72/'Тарифные ставки'!$B$15</f>
        <v>14.33007594</v>
      </c>
      <c r="K72" s="398">
        <v>71.92587600000002</v>
      </c>
      <c r="L72" s="424">
        <f t="shared" si="0"/>
        <v>19.540366307113132</v>
      </c>
      <c r="M72" s="3">
        <v>72</v>
      </c>
      <c r="S72" s="361">
        <f t="shared" si="2"/>
        <v>0</v>
      </c>
    </row>
    <row r="73" spans="1:19" ht="17.25" customHeight="1">
      <c r="A73" s="130" t="s">
        <v>1127</v>
      </c>
      <c r="B73" s="119" t="s">
        <v>2250</v>
      </c>
      <c r="C73" s="93" t="s">
        <v>186</v>
      </c>
      <c r="D73" s="463" t="s">
        <v>1103</v>
      </c>
      <c r="E73" s="422">
        <f>'Тарифные ставки'!$B$5</f>
        <v>137.4825</v>
      </c>
      <c r="F73" s="424">
        <v>0.25</v>
      </c>
      <c r="G73" s="398">
        <f t="shared" si="5"/>
        <v>34.370625</v>
      </c>
      <c r="H73" s="424">
        <f>G73*'Тарифные ставки'!$B$13</f>
        <v>88.67621249999999</v>
      </c>
      <c r="I73" s="424">
        <f>H73*'Тарифные ставки'!$B$14*'Тарифные ставки'!$B$15</f>
        <v>107.47556954999999</v>
      </c>
      <c r="J73" s="398">
        <f>I73-I73/'Тарифные ставки'!$B$15</f>
        <v>17.912594924999993</v>
      </c>
      <c r="K73" s="398">
        <v>89.907345</v>
      </c>
      <c r="L73" s="424">
        <f aca="true" t="shared" si="6" ref="L73:L136">I73/K73*100-100</f>
        <v>19.54036630711316</v>
      </c>
      <c r="M73" s="3">
        <v>91</v>
      </c>
      <c r="S73" s="361">
        <f aca="true" t="shared" si="7" ref="S73:S136">R73/I73*100</f>
        <v>0</v>
      </c>
    </row>
    <row r="74" spans="1:19" ht="17.25" customHeight="1">
      <c r="A74" s="130" t="s">
        <v>1128</v>
      </c>
      <c r="B74" s="119" t="s">
        <v>2251</v>
      </c>
      <c r="C74" s="93" t="s">
        <v>725</v>
      </c>
      <c r="D74" s="463" t="s">
        <v>1103</v>
      </c>
      <c r="E74" s="422">
        <f>'Тарифные ставки'!$B$5</f>
        <v>137.4825</v>
      </c>
      <c r="F74" s="424">
        <v>0.15</v>
      </c>
      <c r="G74" s="398">
        <f t="shared" si="5"/>
        <v>20.622374999999998</v>
      </c>
      <c r="H74" s="424">
        <f>G74*'Тарифные ставки'!$B$13</f>
        <v>53.205727499999995</v>
      </c>
      <c r="I74" s="424">
        <f>H74*'Тарифные ставки'!$B$14*'Тарифные ставки'!$B$15</f>
        <v>64.48534172999999</v>
      </c>
      <c r="J74" s="398">
        <f>I74-I74/'Тарифные ставки'!$B$15</f>
        <v>10.747556954999993</v>
      </c>
      <c r="K74" s="398">
        <v>53.94440700000001</v>
      </c>
      <c r="L74" s="424">
        <f t="shared" si="6"/>
        <v>19.540366307113132</v>
      </c>
      <c r="M74" s="3">
        <v>55</v>
      </c>
      <c r="S74" s="361">
        <f t="shared" si="7"/>
        <v>0</v>
      </c>
    </row>
    <row r="75" spans="1:19" ht="17.25" customHeight="1">
      <c r="A75" s="130" t="s">
        <v>1129</v>
      </c>
      <c r="B75" s="119" t="s">
        <v>2252</v>
      </c>
      <c r="C75" s="93" t="s">
        <v>194</v>
      </c>
      <c r="D75" s="463" t="s">
        <v>1103</v>
      </c>
      <c r="E75" s="422">
        <f>'Тарифные ставки'!$B$5</f>
        <v>137.4825</v>
      </c>
      <c r="F75" s="424">
        <v>0.2</v>
      </c>
      <c r="G75" s="398">
        <f t="shared" si="5"/>
        <v>27.496499999999997</v>
      </c>
      <c r="H75" s="424">
        <f>G75*'Тарифные ставки'!$B$13</f>
        <v>70.94097</v>
      </c>
      <c r="I75" s="424">
        <f>H75*'Тарифные ставки'!$B$14*'Тарифные ставки'!$B$15</f>
        <v>85.98045563999999</v>
      </c>
      <c r="J75" s="398">
        <f>I75-I75/'Тарифные ставки'!$B$15</f>
        <v>14.33007594</v>
      </c>
      <c r="K75" s="398">
        <v>71.92587600000002</v>
      </c>
      <c r="L75" s="424">
        <f t="shared" si="6"/>
        <v>19.540366307113132</v>
      </c>
      <c r="M75" s="3">
        <v>72</v>
      </c>
      <c r="S75" s="361">
        <f t="shared" si="7"/>
        <v>0</v>
      </c>
    </row>
    <row r="76" spans="1:19" ht="17.25" customHeight="1">
      <c r="A76" s="130" t="s">
        <v>1130</v>
      </c>
      <c r="B76" s="119" t="s">
        <v>2253</v>
      </c>
      <c r="C76" s="93" t="s">
        <v>1133</v>
      </c>
      <c r="D76" s="463" t="s">
        <v>1103</v>
      </c>
      <c r="E76" s="422">
        <f>'Тарифные ставки'!$B$5</f>
        <v>137.4825</v>
      </c>
      <c r="F76" s="424">
        <v>1.24</v>
      </c>
      <c r="G76" s="398">
        <f t="shared" si="5"/>
        <v>170.4783</v>
      </c>
      <c r="H76" s="424">
        <f>G76*'Тарифные ставки'!$B$13</f>
        <v>439.83401399999997</v>
      </c>
      <c r="I76" s="424">
        <f>H76*'Тарифные ставки'!$B$14*'Тарифные ставки'!$B$15</f>
        <v>533.0788249679999</v>
      </c>
      <c r="J76" s="398">
        <f>I76-I76/'Тарифные ставки'!$B$15</f>
        <v>88.84647082799995</v>
      </c>
      <c r="K76" s="398">
        <v>445.9404312000001</v>
      </c>
      <c r="L76" s="424">
        <f t="shared" si="6"/>
        <v>19.540366307113132</v>
      </c>
      <c r="M76" s="3">
        <v>453</v>
      </c>
      <c r="S76" s="361">
        <f t="shared" si="7"/>
        <v>0</v>
      </c>
    </row>
    <row r="77" spans="1:19" ht="17.25" customHeight="1">
      <c r="A77" s="130" t="s">
        <v>1131</v>
      </c>
      <c r="B77" s="119" t="s">
        <v>2254</v>
      </c>
      <c r="C77" s="93" t="s">
        <v>1134</v>
      </c>
      <c r="D77" s="463" t="s">
        <v>1103</v>
      </c>
      <c r="E77" s="422">
        <f>'Тарифные ставки'!$B$5</f>
        <v>137.4825</v>
      </c>
      <c r="F77" s="424">
        <v>0.81</v>
      </c>
      <c r="G77" s="398">
        <f t="shared" si="5"/>
        <v>111.36082499999999</v>
      </c>
      <c r="H77" s="424">
        <f>G77*'Тарифные ставки'!$B$13</f>
        <v>287.3109285</v>
      </c>
      <c r="I77" s="424">
        <f>H77*'Тарифные ставки'!$B$14*'Тарифные ставки'!$B$15</f>
        <v>348.22084534199996</v>
      </c>
      <c r="J77" s="398">
        <f>I77-I77/'Тарифные ставки'!$B$15</f>
        <v>58.036807556999975</v>
      </c>
      <c r="K77" s="398">
        <v>291.2997978000001</v>
      </c>
      <c r="L77" s="424">
        <f t="shared" si="6"/>
        <v>19.540366307113132</v>
      </c>
      <c r="M77" s="3">
        <v>296</v>
      </c>
      <c r="S77" s="361">
        <f t="shared" si="7"/>
        <v>0</v>
      </c>
    </row>
    <row r="78" spans="1:19" ht="17.25" customHeight="1">
      <c r="A78" s="130" t="s">
        <v>1132</v>
      </c>
      <c r="B78" s="119" t="s">
        <v>2255</v>
      </c>
      <c r="C78" s="93" t="s">
        <v>1768</v>
      </c>
      <c r="D78" s="463" t="s">
        <v>1103</v>
      </c>
      <c r="E78" s="422">
        <f>'Тарифные ставки'!$B$5</f>
        <v>137.4825</v>
      </c>
      <c r="F78" s="424">
        <v>0.69</v>
      </c>
      <c r="G78" s="398">
        <f t="shared" si="5"/>
        <v>94.86292499999999</v>
      </c>
      <c r="H78" s="424">
        <f>G78*'Тарифные ставки'!$B$13</f>
        <v>244.7463465</v>
      </c>
      <c r="I78" s="424">
        <f>H78*'Тарифные ставки'!$B$14*'Тарифные ставки'!$B$15</f>
        <v>296.63257195799997</v>
      </c>
      <c r="J78" s="398">
        <f>I78-I78/'Тарифные ставки'!$B$15</f>
        <v>49.438761992999986</v>
      </c>
      <c r="K78" s="398">
        <v>248.1442722</v>
      </c>
      <c r="L78" s="424">
        <f t="shared" si="6"/>
        <v>19.540366307113175</v>
      </c>
      <c r="M78" s="3">
        <v>252</v>
      </c>
      <c r="S78" s="361">
        <f t="shared" si="7"/>
        <v>0</v>
      </c>
    </row>
    <row r="79" spans="1:19" ht="17.25" customHeight="1">
      <c r="A79" s="130" t="s">
        <v>1136</v>
      </c>
      <c r="B79" s="119" t="s">
        <v>1135</v>
      </c>
      <c r="C79" s="93" t="s">
        <v>1137</v>
      </c>
      <c r="D79" s="463" t="s">
        <v>1103</v>
      </c>
      <c r="E79" s="422">
        <f>'Тарифные ставки'!$B$5</f>
        <v>137.4825</v>
      </c>
      <c r="F79" s="424">
        <v>0.43</v>
      </c>
      <c r="G79" s="398">
        <f t="shared" si="5"/>
        <v>59.11747499999999</v>
      </c>
      <c r="H79" s="424">
        <f>G79*'Тарифные ставки'!$B$13</f>
        <v>152.52308549999998</v>
      </c>
      <c r="I79" s="424">
        <f>H79*'Тарифные ставки'!$B$14*'Тарифные ставки'!$B$15</f>
        <v>184.85797962599995</v>
      </c>
      <c r="J79" s="398">
        <f>I79-I79/'Тарифные ставки'!$B$15</f>
        <v>30.809663270999977</v>
      </c>
      <c r="K79" s="398">
        <v>154.6406334</v>
      </c>
      <c r="L79" s="424">
        <f t="shared" si="6"/>
        <v>19.540366307113132</v>
      </c>
      <c r="M79" s="3">
        <v>156</v>
      </c>
      <c r="S79" s="361">
        <f t="shared" si="7"/>
        <v>0</v>
      </c>
    </row>
    <row r="80" spans="1:19" ht="17.25" customHeight="1">
      <c r="A80" s="130" t="s">
        <v>2256</v>
      </c>
      <c r="B80" s="119" t="s">
        <v>2480</v>
      </c>
      <c r="C80" s="93" t="s">
        <v>1134</v>
      </c>
      <c r="D80" s="463" t="s">
        <v>1103</v>
      </c>
      <c r="E80" s="422">
        <f>'Тарифные ставки'!$B$5</f>
        <v>137.4825</v>
      </c>
      <c r="F80" s="424">
        <v>0.5</v>
      </c>
      <c r="G80" s="398">
        <f t="shared" si="5"/>
        <v>68.74125</v>
      </c>
      <c r="H80" s="424">
        <f>G80*'Тарифные ставки'!$B$13</f>
        <v>177.35242499999998</v>
      </c>
      <c r="I80" s="424">
        <f>H80*'Тарифные ставки'!$B$14*'Тарифные ставки'!$B$15</f>
        <v>214.95113909999998</v>
      </c>
      <c r="J80" s="398">
        <f>I80-I80/'Тарифные ставки'!$B$15</f>
        <v>35.82518984999999</v>
      </c>
      <c r="K80" s="398">
        <v>179.81469</v>
      </c>
      <c r="L80" s="424">
        <f t="shared" si="6"/>
        <v>19.54036630711316</v>
      </c>
      <c r="M80" s="3">
        <v>181</v>
      </c>
      <c r="S80" s="361">
        <f t="shared" si="7"/>
        <v>0</v>
      </c>
    </row>
    <row r="81" spans="1:19" ht="17.25" customHeight="1">
      <c r="A81" s="130" t="s">
        <v>2257</v>
      </c>
      <c r="B81" s="119" t="s">
        <v>2258</v>
      </c>
      <c r="C81" s="93" t="s">
        <v>1134</v>
      </c>
      <c r="D81" s="463" t="s">
        <v>1103</v>
      </c>
      <c r="E81" s="422">
        <f>'Тарифные ставки'!$B$5</f>
        <v>137.4825</v>
      </c>
      <c r="F81" s="424">
        <v>0.3</v>
      </c>
      <c r="G81" s="398">
        <f t="shared" si="5"/>
        <v>41.244749999999996</v>
      </c>
      <c r="H81" s="424">
        <f>G81*'Тарифные ставки'!$B$13</f>
        <v>106.41145499999999</v>
      </c>
      <c r="I81" s="424">
        <f>H81*'Тарифные ставки'!$B$14*'Тарифные ставки'!$B$15</f>
        <v>128.97068345999998</v>
      </c>
      <c r="J81" s="398">
        <f>I81-I81/'Тарифные ставки'!$B$15</f>
        <v>21.495113909999986</v>
      </c>
      <c r="K81" s="398">
        <v>107.88881400000002</v>
      </c>
      <c r="L81" s="424">
        <f t="shared" si="6"/>
        <v>19.540366307113132</v>
      </c>
      <c r="M81" s="3">
        <v>110</v>
      </c>
      <c r="S81" s="361">
        <f t="shared" si="7"/>
        <v>0</v>
      </c>
    </row>
    <row r="82" spans="1:19" ht="17.25" customHeight="1">
      <c r="A82" s="130" t="s">
        <v>1138</v>
      </c>
      <c r="B82" s="119" t="s">
        <v>2259</v>
      </c>
      <c r="C82" s="93" t="s">
        <v>1134</v>
      </c>
      <c r="D82" s="463" t="s">
        <v>1103</v>
      </c>
      <c r="E82" s="422">
        <f>'Тарифные ставки'!$B$5</f>
        <v>137.4825</v>
      </c>
      <c r="F82" s="424">
        <v>0.4</v>
      </c>
      <c r="G82" s="398">
        <f t="shared" si="5"/>
        <v>54.992999999999995</v>
      </c>
      <c r="H82" s="424">
        <f>G82*'Тарифные ставки'!$B$13</f>
        <v>141.88194</v>
      </c>
      <c r="I82" s="424">
        <f>H82*'Тарифные ставки'!$B$14*'Тарифные ставки'!$B$15</f>
        <v>171.96091127999998</v>
      </c>
      <c r="J82" s="398">
        <f>I82-I82/'Тарифные ставки'!$B$15</f>
        <v>28.66015188</v>
      </c>
      <c r="K82" s="398">
        <v>143.85175200000003</v>
      </c>
      <c r="L82" s="424">
        <f t="shared" si="6"/>
        <v>19.540366307113132</v>
      </c>
      <c r="M82" s="3">
        <v>146</v>
      </c>
      <c r="S82" s="361">
        <f t="shared" si="7"/>
        <v>0</v>
      </c>
    </row>
    <row r="83" spans="1:19" ht="17.25" customHeight="1">
      <c r="A83" s="130" t="s">
        <v>2260</v>
      </c>
      <c r="B83" s="119" t="s">
        <v>2416</v>
      </c>
      <c r="C83" s="93" t="s">
        <v>1416</v>
      </c>
      <c r="D83" s="463" t="s">
        <v>1103</v>
      </c>
      <c r="E83" s="422">
        <f>'Тарифные ставки'!$B$5</f>
        <v>137.4825</v>
      </c>
      <c r="F83" s="424">
        <v>0.6</v>
      </c>
      <c r="G83" s="398">
        <f t="shared" si="5"/>
        <v>82.48949999999999</v>
      </c>
      <c r="H83" s="424">
        <f>G83*'Тарифные ставки'!$B$13</f>
        <v>212.82290999999998</v>
      </c>
      <c r="I83" s="424">
        <f>H83*'Тарифные ставки'!$B$14*'Тарифные ставки'!$B$15</f>
        <v>257.94136691999995</v>
      </c>
      <c r="J83" s="398">
        <f>I83-I83/'Тарифные ставки'!$B$15</f>
        <v>42.99022781999997</v>
      </c>
      <c r="K83" s="398">
        <v>215.77762800000005</v>
      </c>
      <c r="L83" s="424">
        <f t="shared" si="6"/>
        <v>19.540366307113132</v>
      </c>
      <c r="M83" s="3">
        <v>219</v>
      </c>
      <c r="S83" s="361">
        <f t="shared" si="7"/>
        <v>0</v>
      </c>
    </row>
    <row r="84" spans="1:19" ht="17.25" customHeight="1">
      <c r="A84" s="130" t="s">
        <v>2261</v>
      </c>
      <c r="B84" s="119" t="s">
        <v>2481</v>
      </c>
      <c r="C84" s="93" t="s">
        <v>1416</v>
      </c>
      <c r="D84" s="463" t="s">
        <v>1103</v>
      </c>
      <c r="E84" s="422">
        <f>'Тарифные ставки'!$B$5</f>
        <v>137.4825</v>
      </c>
      <c r="F84" s="424">
        <v>0.9</v>
      </c>
      <c r="G84" s="398">
        <f t="shared" si="5"/>
        <v>123.73424999999999</v>
      </c>
      <c r="H84" s="424">
        <f>G84*'Тарифные ставки'!$B$13</f>
        <v>319.23436499999997</v>
      </c>
      <c r="I84" s="424">
        <f>H84*'Тарифные ставки'!$B$14*'Тарифные ставки'!$B$15</f>
        <v>386.9120503799999</v>
      </c>
      <c r="J84" s="398">
        <f>I84-I84/'Тарифные ставки'!$B$15</f>
        <v>64.48534172999996</v>
      </c>
      <c r="K84" s="398">
        <v>323.6664420000001</v>
      </c>
      <c r="L84" s="424">
        <f t="shared" si="6"/>
        <v>19.540366307113132</v>
      </c>
      <c r="M84" s="3">
        <v>328</v>
      </c>
      <c r="S84" s="361">
        <f t="shared" si="7"/>
        <v>0</v>
      </c>
    </row>
    <row r="85" spans="1:19" ht="17.25" customHeight="1">
      <c r="A85" s="130" t="s">
        <v>1139</v>
      </c>
      <c r="B85" s="119" t="s">
        <v>2262</v>
      </c>
      <c r="C85" s="93" t="s">
        <v>812</v>
      </c>
      <c r="D85" s="463" t="s">
        <v>1103</v>
      </c>
      <c r="E85" s="422">
        <f>'Тарифные ставки'!$B$5</f>
        <v>137.4825</v>
      </c>
      <c r="F85" s="424">
        <v>0.82</v>
      </c>
      <c r="G85" s="398">
        <f t="shared" si="5"/>
        <v>112.73564999999998</v>
      </c>
      <c r="H85" s="424">
        <f>G85*'Тарифные ставки'!$B$13</f>
        <v>290.85797699999995</v>
      </c>
      <c r="I85" s="424">
        <f>H85*'Тарифные ставки'!$B$14*'Тарифные ставки'!$B$15</f>
        <v>352.51986812399997</v>
      </c>
      <c r="J85" s="398">
        <f>I85-I85/'Тарифные ставки'!$B$15</f>
        <v>58.753311354000004</v>
      </c>
      <c r="K85" s="398">
        <v>294.8960916</v>
      </c>
      <c r="L85" s="424">
        <f t="shared" si="6"/>
        <v>19.540366307113175</v>
      </c>
      <c r="S85" s="361">
        <f t="shared" si="7"/>
        <v>0</v>
      </c>
    </row>
    <row r="86" spans="1:19" ht="17.25" customHeight="1">
      <c r="A86" s="130" t="s">
        <v>2263</v>
      </c>
      <c r="B86" s="119" t="s">
        <v>2264</v>
      </c>
      <c r="C86" s="93" t="s">
        <v>1134</v>
      </c>
      <c r="D86" s="463" t="s">
        <v>1103</v>
      </c>
      <c r="E86" s="422">
        <f>'Тарифные ставки'!$B$5</f>
        <v>137.4825</v>
      </c>
      <c r="F86" s="424">
        <v>0.25</v>
      </c>
      <c r="G86" s="398">
        <f t="shared" si="5"/>
        <v>34.370625</v>
      </c>
      <c r="H86" s="424">
        <f>G86*'Тарифные ставки'!$B$13</f>
        <v>88.67621249999999</v>
      </c>
      <c r="I86" s="424">
        <f>H86*'Тарифные ставки'!$B$14*'Тарифные ставки'!$B$15</f>
        <v>107.47556954999999</v>
      </c>
      <c r="J86" s="398">
        <f>I86-I86/'Тарифные ставки'!$B$15</f>
        <v>17.912594924999993</v>
      </c>
      <c r="K86" s="398">
        <v>89.907345</v>
      </c>
      <c r="L86" s="424">
        <f t="shared" si="6"/>
        <v>19.54036630711316</v>
      </c>
      <c r="S86" s="361">
        <f t="shared" si="7"/>
        <v>0</v>
      </c>
    </row>
    <row r="87" spans="1:19" ht="17.25" customHeight="1">
      <c r="A87" s="130" t="s">
        <v>586</v>
      </c>
      <c r="B87" s="119" t="s">
        <v>587</v>
      </c>
      <c r="C87" s="93" t="s">
        <v>1134</v>
      </c>
      <c r="D87" s="463" t="s">
        <v>1103</v>
      </c>
      <c r="E87" s="422">
        <f>'Тарифные ставки'!$B$5</f>
        <v>137.4825</v>
      </c>
      <c r="F87" s="424">
        <v>0.17</v>
      </c>
      <c r="G87" s="398">
        <f t="shared" si="5"/>
        <v>23.372025</v>
      </c>
      <c r="H87" s="424">
        <f>G87*'Тарифные ставки'!$B$13</f>
        <v>60.29982450000001</v>
      </c>
      <c r="I87" s="424">
        <f>H87*'Тарифные ставки'!$B$14*'Тарифные ставки'!$B$15</f>
        <v>73.083387294</v>
      </c>
      <c r="J87" s="398">
        <f>I87-I87/'Тарифные ставки'!$B$15</f>
        <v>12.180564548999996</v>
      </c>
      <c r="K87" s="398">
        <v>61.13699460000001</v>
      </c>
      <c r="L87" s="424">
        <f t="shared" si="6"/>
        <v>19.54036630711316</v>
      </c>
      <c r="S87" s="361">
        <f t="shared" si="7"/>
        <v>0</v>
      </c>
    </row>
    <row r="88" spans="1:19" ht="15.75">
      <c r="A88" s="136" t="s">
        <v>588</v>
      </c>
      <c r="B88" s="119" t="s">
        <v>589</v>
      </c>
      <c r="C88" s="93" t="s">
        <v>1134</v>
      </c>
      <c r="D88" s="463" t="s">
        <v>1103</v>
      </c>
      <c r="E88" s="422">
        <f>'Тарифные ставки'!$B$5</f>
        <v>137.4825</v>
      </c>
      <c r="F88" s="424">
        <v>0.5</v>
      </c>
      <c r="G88" s="398">
        <f t="shared" si="5"/>
        <v>68.74125</v>
      </c>
      <c r="H88" s="424">
        <f>G88*'Тарифные ставки'!$B$13</f>
        <v>177.35242499999998</v>
      </c>
      <c r="I88" s="424">
        <f>H88*'Тарифные ставки'!$B$14*'Тарифные ставки'!$B$15</f>
        <v>214.95113909999998</v>
      </c>
      <c r="J88" s="398">
        <f>I88-I88/'Тарифные ставки'!$B$15</f>
        <v>35.82518984999999</v>
      </c>
      <c r="K88" s="398">
        <v>179.81469</v>
      </c>
      <c r="L88" s="424">
        <f t="shared" si="6"/>
        <v>19.54036630711316</v>
      </c>
      <c r="S88" s="361">
        <f t="shared" si="7"/>
        <v>0</v>
      </c>
    </row>
    <row r="89" spans="1:19" ht="15.75">
      <c r="A89" s="136" t="s">
        <v>590</v>
      </c>
      <c r="B89" s="119" t="s">
        <v>591</v>
      </c>
      <c r="C89" s="93" t="s">
        <v>1134</v>
      </c>
      <c r="D89" s="463" t="s">
        <v>1103</v>
      </c>
      <c r="E89" s="422">
        <f>'Тарифные ставки'!$B$5</f>
        <v>137.4825</v>
      </c>
      <c r="F89" s="424">
        <v>0.25</v>
      </c>
      <c r="G89" s="398">
        <f t="shared" si="5"/>
        <v>34.370625</v>
      </c>
      <c r="H89" s="424">
        <f>G89*'Тарифные ставки'!$B$13</f>
        <v>88.67621249999999</v>
      </c>
      <c r="I89" s="424">
        <f>H89*'Тарифные ставки'!$B$14*'Тарифные ставки'!$B$15</f>
        <v>107.47556954999999</v>
      </c>
      <c r="J89" s="398">
        <f>I89-I89/'Тарифные ставки'!$B$15</f>
        <v>17.912594924999993</v>
      </c>
      <c r="K89" s="398">
        <v>89.907345</v>
      </c>
      <c r="L89" s="424">
        <f t="shared" si="6"/>
        <v>19.54036630711316</v>
      </c>
      <c r="S89" s="361">
        <f t="shared" si="7"/>
        <v>0</v>
      </c>
    </row>
    <row r="90" spans="1:19" ht="15.75" customHeight="1">
      <c r="A90" s="136" t="s">
        <v>592</v>
      </c>
      <c r="B90" s="119" t="s">
        <v>1872</v>
      </c>
      <c r="C90" s="93" t="s">
        <v>1134</v>
      </c>
      <c r="D90" s="463" t="s">
        <v>1103</v>
      </c>
      <c r="E90" s="422">
        <f>'Тарифные ставки'!$B$5</f>
        <v>137.4825</v>
      </c>
      <c r="F90" s="424">
        <v>0.25</v>
      </c>
      <c r="G90" s="398">
        <f t="shared" si="5"/>
        <v>34.370625</v>
      </c>
      <c r="H90" s="424">
        <f>G90*'Тарифные ставки'!$B$13</f>
        <v>88.67621249999999</v>
      </c>
      <c r="I90" s="424">
        <f>H90*'Тарифные ставки'!$B$14*'Тарифные ставки'!$B$15</f>
        <v>107.47556954999999</v>
      </c>
      <c r="J90" s="398">
        <f>I90-I90/'Тарифные ставки'!$B$15</f>
        <v>17.912594924999993</v>
      </c>
      <c r="K90" s="398">
        <v>89.907345</v>
      </c>
      <c r="L90" s="424">
        <f t="shared" si="6"/>
        <v>19.54036630711316</v>
      </c>
      <c r="S90" s="361">
        <f t="shared" si="7"/>
        <v>0</v>
      </c>
    </row>
    <row r="91" spans="1:19" ht="18" customHeight="1">
      <c r="A91" s="136" t="s">
        <v>1873</v>
      </c>
      <c r="B91" s="119" t="s">
        <v>1874</v>
      </c>
      <c r="C91" s="93" t="s">
        <v>1134</v>
      </c>
      <c r="D91" s="463" t="s">
        <v>1103</v>
      </c>
      <c r="E91" s="422">
        <f>'Тарифные ставки'!$B$5</f>
        <v>137.4825</v>
      </c>
      <c r="F91" s="424">
        <v>1</v>
      </c>
      <c r="G91" s="398">
        <f t="shared" si="5"/>
        <v>137.4825</v>
      </c>
      <c r="H91" s="424">
        <f>G91*'Тарифные ставки'!$B$13</f>
        <v>354.70484999999996</v>
      </c>
      <c r="I91" s="424">
        <f>H91*'Тарифные ставки'!$B$14*'Тарифные ставки'!$B$15</f>
        <v>429.90227819999996</v>
      </c>
      <c r="J91" s="398">
        <f>I91-I91/'Тарифные ставки'!$B$15</f>
        <v>71.65037969999997</v>
      </c>
      <c r="K91" s="398">
        <v>359.62938</v>
      </c>
      <c r="L91" s="424">
        <f t="shared" si="6"/>
        <v>19.54036630711316</v>
      </c>
      <c r="S91" s="361">
        <f t="shared" si="7"/>
        <v>0</v>
      </c>
    </row>
    <row r="92" spans="1:19" ht="15.75">
      <c r="A92" s="136" t="s">
        <v>1875</v>
      </c>
      <c r="B92" s="119" t="s">
        <v>1876</v>
      </c>
      <c r="C92" s="93" t="s">
        <v>1134</v>
      </c>
      <c r="D92" s="463" t="s">
        <v>1103</v>
      </c>
      <c r="E92" s="422">
        <f>'Тарифные ставки'!$B$5</f>
        <v>137.4825</v>
      </c>
      <c r="F92" s="424">
        <v>0.5</v>
      </c>
      <c r="G92" s="398">
        <f t="shared" si="5"/>
        <v>68.74125</v>
      </c>
      <c r="H92" s="424">
        <f>G92*'Тарифные ставки'!$B$13</f>
        <v>177.35242499999998</v>
      </c>
      <c r="I92" s="424">
        <f>H92*'Тарифные ставки'!$B$14*'Тарифные ставки'!$B$15</f>
        <v>214.95113909999998</v>
      </c>
      <c r="J92" s="398">
        <f>I92-I92/'Тарифные ставки'!$B$15</f>
        <v>35.82518984999999</v>
      </c>
      <c r="K92" s="398">
        <v>179.81469</v>
      </c>
      <c r="L92" s="424">
        <f t="shared" si="6"/>
        <v>19.54036630711316</v>
      </c>
      <c r="S92" s="361">
        <f t="shared" si="7"/>
        <v>0</v>
      </c>
    </row>
    <row r="93" spans="1:19" ht="15.75">
      <c r="A93" s="136" t="s">
        <v>1877</v>
      </c>
      <c r="B93" s="119" t="s">
        <v>1878</v>
      </c>
      <c r="C93" s="93" t="s">
        <v>1134</v>
      </c>
      <c r="D93" s="463" t="s">
        <v>1103</v>
      </c>
      <c r="E93" s="422">
        <f>'Тарифные ставки'!$B$5</f>
        <v>137.4825</v>
      </c>
      <c r="F93" s="424">
        <v>0.5</v>
      </c>
      <c r="G93" s="398">
        <f t="shared" si="5"/>
        <v>68.74125</v>
      </c>
      <c r="H93" s="424">
        <f>G93*'Тарифные ставки'!$B$13</f>
        <v>177.35242499999998</v>
      </c>
      <c r="I93" s="424">
        <f>H93*'Тарифные ставки'!$B$14*'Тарифные ставки'!$B$15</f>
        <v>214.95113909999998</v>
      </c>
      <c r="J93" s="398">
        <f>I93-I93/'Тарифные ставки'!$B$15</f>
        <v>35.82518984999999</v>
      </c>
      <c r="K93" s="398">
        <v>179.81469</v>
      </c>
      <c r="L93" s="424">
        <f t="shared" si="6"/>
        <v>19.54036630711316</v>
      </c>
      <c r="S93" s="361">
        <f t="shared" si="7"/>
        <v>0</v>
      </c>
    </row>
    <row r="94" spans="1:19" ht="15.75">
      <c r="A94" s="136" t="s">
        <v>1879</v>
      </c>
      <c r="B94" s="119" t="s">
        <v>1880</v>
      </c>
      <c r="C94" s="93" t="s">
        <v>1134</v>
      </c>
      <c r="D94" s="463" t="s">
        <v>1103</v>
      </c>
      <c r="E94" s="422">
        <f>'Тарифные ставки'!$B$5</f>
        <v>137.4825</v>
      </c>
      <c r="F94" s="424">
        <v>0.1</v>
      </c>
      <c r="G94" s="398">
        <f t="shared" si="5"/>
        <v>13.748249999999999</v>
      </c>
      <c r="H94" s="424">
        <f>G94*'Тарифные ставки'!$B$13</f>
        <v>35.470485</v>
      </c>
      <c r="I94" s="424">
        <f>H94*'Тарифные ставки'!$B$14*'Тарифные ставки'!$B$15</f>
        <v>42.990227819999994</v>
      </c>
      <c r="J94" s="398">
        <f>I94-I94/'Тарифные ставки'!$B$15</f>
        <v>7.16503797</v>
      </c>
      <c r="K94" s="398">
        <v>35.96293800000001</v>
      </c>
      <c r="L94" s="424">
        <f t="shared" si="6"/>
        <v>19.540366307113132</v>
      </c>
      <c r="S94" s="361">
        <f t="shared" si="7"/>
        <v>0</v>
      </c>
    </row>
    <row r="95" spans="1:19" ht="15.75">
      <c r="A95" s="136" t="s">
        <v>1881</v>
      </c>
      <c r="B95" s="119" t="s">
        <v>1882</v>
      </c>
      <c r="C95" s="93" t="s">
        <v>1134</v>
      </c>
      <c r="D95" s="463" t="s">
        <v>1103</v>
      </c>
      <c r="E95" s="422">
        <f>'Тарифные ставки'!$B$5</f>
        <v>137.4825</v>
      </c>
      <c r="F95" s="424">
        <v>0.7</v>
      </c>
      <c r="G95" s="398">
        <f t="shared" si="5"/>
        <v>96.23774999999999</v>
      </c>
      <c r="H95" s="424">
        <f>G95*'Тарифные ставки'!$B$13</f>
        <v>248.29339499999998</v>
      </c>
      <c r="I95" s="424">
        <f>H95*'Тарифные ставки'!$B$14*'Тарифные ставки'!$B$15</f>
        <v>300.9315947399999</v>
      </c>
      <c r="J95" s="398">
        <f>I95-I95/'Тарифные ставки'!$B$15</f>
        <v>50.15526578999999</v>
      </c>
      <c r="K95" s="398">
        <v>251.740566</v>
      </c>
      <c r="L95" s="424">
        <f t="shared" si="6"/>
        <v>19.540366307113132</v>
      </c>
      <c r="S95" s="361">
        <f t="shared" si="7"/>
        <v>0</v>
      </c>
    </row>
    <row r="96" spans="1:19" ht="31.5">
      <c r="A96" s="136" t="s">
        <v>1883</v>
      </c>
      <c r="B96" s="119" t="s">
        <v>1884</v>
      </c>
      <c r="C96" s="93" t="s">
        <v>1140</v>
      </c>
      <c r="D96" s="463" t="s">
        <v>1103</v>
      </c>
      <c r="E96" s="422">
        <f>'Тарифные ставки'!$B$5</f>
        <v>137.4825</v>
      </c>
      <c r="F96" s="422">
        <v>0.5</v>
      </c>
      <c r="G96" s="398">
        <f t="shared" si="5"/>
        <v>68.74125</v>
      </c>
      <c r="H96" s="424">
        <f>G96*'Тарифные ставки'!$B$13</f>
        <v>177.35242499999998</v>
      </c>
      <c r="I96" s="424">
        <f>H96*'Тарифные ставки'!$B$14*'Тарифные ставки'!$B$15</f>
        <v>214.95113909999998</v>
      </c>
      <c r="J96" s="398">
        <f>I96-I96/'Тарифные ставки'!$B$15</f>
        <v>35.82518984999999</v>
      </c>
      <c r="K96" s="398">
        <v>179.81469</v>
      </c>
      <c r="L96" s="424">
        <f t="shared" si="6"/>
        <v>19.54036630711316</v>
      </c>
      <c r="S96" s="361">
        <f t="shared" si="7"/>
        <v>0</v>
      </c>
    </row>
    <row r="97" spans="1:19" ht="15.75">
      <c r="A97" s="136" t="s">
        <v>1885</v>
      </c>
      <c r="B97" s="119" t="s">
        <v>1886</v>
      </c>
      <c r="C97" s="93" t="s">
        <v>1141</v>
      </c>
      <c r="D97" s="463" t="s">
        <v>1103</v>
      </c>
      <c r="E97" s="422">
        <f>'Тарифные ставки'!$B$5</f>
        <v>137.4825</v>
      </c>
      <c r="F97" s="422">
        <v>0.5</v>
      </c>
      <c r="G97" s="399">
        <f t="shared" si="5"/>
        <v>68.74125</v>
      </c>
      <c r="H97" s="424">
        <f>G97*'Тарифные ставки'!$B$13</f>
        <v>177.35242499999998</v>
      </c>
      <c r="I97" s="424">
        <f>H97*'Тарифные ставки'!$B$14*'Тарифные ставки'!$B$15</f>
        <v>214.95113909999998</v>
      </c>
      <c r="J97" s="398">
        <f>I97-I97/'Тарифные ставки'!$B$15</f>
        <v>35.82518984999999</v>
      </c>
      <c r="K97" s="398">
        <v>179.81469</v>
      </c>
      <c r="L97" s="424">
        <f t="shared" si="6"/>
        <v>19.54036630711316</v>
      </c>
      <c r="S97" s="361">
        <f t="shared" si="7"/>
        <v>0</v>
      </c>
    </row>
    <row r="98" spans="1:19" ht="31.5">
      <c r="A98" s="136" t="s">
        <v>1887</v>
      </c>
      <c r="B98" s="119" t="s">
        <v>1888</v>
      </c>
      <c r="C98" s="93" t="s">
        <v>1416</v>
      </c>
      <c r="D98" s="463" t="s">
        <v>1103</v>
      </c>
      <c r="E98" s="422">
        <f>'Тарифные ставки'!$B$5</f>
        <v>137.4825</v>
      </c>
      <c r="F98" s="422">
        <v>0.25</v>
      </c>
      <c r="G98" s="398">
        <f t="shared" si="5"/>
        <v>34.370625</v>
      </c>
      <c r="H98" s="424">
        <f>G98*'Тарифные ставки'!$B$13</f>
        <v>88.67621249999999</v>
      </c>
      <c r="I98" s="424">
        <f>H98*'Тарифные ставки'!$B$14*'Тарифные ставки'!$B$15</f>
        <v>107.47556954999999</v>
      </c>
      <c r="J98" s="398">
        <f>I98-I98/'Тарифные ставки'!$B$15</f>
        <v>17.912594924999993</v>
      </c>
      <c r="K98" s="398">
        <v>89.907345</v>
      </c>
      <c r="L98" s="424">
        <f t="shared" si="6"/>
        <v>19.54036630711316</v>
      </c>
      <c r="S98" s="361">
        <f t="shared" si="7"/>
        <v>0</v>
      </c>
    </row>
    <row r="99" spans="1:19" ht="15.75">
      <c r="A99" s="136" t="s">
        <v>1889</v>
      </c>
      <c r="B99" s="119" t="s">
        <v>1890</v>
      </c>
      <c r="C99" s="93" t="s">
        <v>1416</v>
      </c>
      <c r="D99" s="463" t="s">
        <v>1103</v>
      </c>
      <c r="E99" s="422">
        <f>'Тарифные ставки'!$B$5</f>
        <v>137.4825</v>
      </c>
      <c r="F99" s="422">
        <v>0.5</v>
      </c>
      <c r="G99" s="398">
        <f t="shared" si="5"/>
        <v>68.74125</v>
      </c>
      <c r="H99" s="424">
        <f>G99*'Тарифные ставки'!$B$13</f>
        <v>177.35242499999998</v>
      </c>
      <c r="I99" s="424">
        <f>H99*'Тарифные ставки'!$B$14*'Тарифные ставки'!$B$15</f>
        <v>214.95113909999998</v>
      </c>
      <c r="J99" s="398">
        <f>I99-I99/'Тарифные ставки'!$B$15</f>
        <v>35.82518984999999</v>
      </c>
      <c r="K99" s="398">
        <v>179.81469</v>
      </c>
      <c r="L99" s="424">
        <f t="shared" si="6"/>
        <v>19.54036630711316</v>
      </c>
      <c r="S99" s="361">
        <f t="shared" si="7"/>
        <v>0</v>
      </c>
    </row>
    <row r="100" spans="1:19" ht="15.75">
      <c r="A100" s="136" t="s">
        <v>1891</v>
      </c>
      <c r="B100" s="119" t="s">
        <v>1892</v>
      </c>
      <c r="C100" s="93" t="s">
        <v>1125</v>
      </c>
      <c r="D100" s="463" t="s">
        <v>1103</v>
      </c>
      <c r="E100" s="422">
        <f>'Тарифные ставки'!$B$5</f>
        <v>137.4825</v>
      </c>
      <c r="F100" s="422">
        <v>0.3</v>
      </c>
      <c r="G100" s="398">
        <f t="shared" si="5"/>
        <v>41.244749999999996</v>
      </c>
      <c r="H100" s="424">
        <f>G100*'Тарифные ставки'!$B$13</f>
        <v>106.41145499999999</v>
      </c>
      <c r="I100" s="424">
        <f>H100*'Тарифные ставки'!$B$14*'Тарифные ставки'!$B$15</f>
        <v>128.97068345999998</v>
      </c>
      <c r="J100" s="398">
        <f>I100-I100/'Тарифные ставки'!$B$15</f>
        <v>21.495113909999986</v>
      </c>
      <c r="K100" s="398">
        <v>107.88881400000002</v>
      </c>
      <c r="L100" s="424">
        <f t="shared" si="6"/>
        <v>19.540366307113132</v>
      </c>
      <c r="S100" s="361">
        <f t="shared" si="7"/>
        <v>0</v>
      </c>
    </row>
    <row r="101" spans="1:19" ht="15.75">
      <c r="A101" s="136" t="s">
        <v>1893</v>
      </c>
      <c r="B101" s="119" t="s">
        <v>1894</v>
      </c>
      <c r="C101" s="93" t="s">
        <v>1416</v>
      </c>
      <c r="D101" s="463" t="s">
        <v>1103</v>
      </c>
      <c r="E101" s="422">
        <f>'Тарифные ставки'!$B$5</f>
        <v>137.4825</v>
      </c>
      <c r="F101" s="422">
        <v>0.33</v>
      </c>
      <c r="G101" s="398">
        <f t="shared" si="5"/>
        <v>45.369225</v>
      </c>
      <c r="H101" s="424">
        <f>G101*'Тарифные ставки'!$B$13</f>
        <v>117.0526005</v>
      </c>
      <c r="I101" s="424">
        <f>H101*'Тарифные ставки'!$B$14*'Тарифные ставки'!$B$15</f>
        <v>141.867751806</v>
      </c>
      <c r="J101" s="398">
        <f>I101-I101/'Тарифные ставки'!$B$15</f>
        <v>23.64462530099999</v>
      </c>
      <c r="K101" s="398">
        <v>118.6776954</v>
      </c>
      <c r="L101" s="424">
        <f t="shared" si="6"/>
        <v>19.540366307113175</v>
      </c>
      <c r="S101" s="361">
        <f t="shared" si="7"/>
        <v>0</v>
      </c>
    </row>
    <row r="102" spans="1:19" ht="31.5">
      <c r="A102" s="136" t="s">
        <v>1895</v>
      </c>
      <c r="B102" s="125" t="s">
        <v>1458</v>
      </c>
      <c r="C102" s="93" t="s">
        <v>1142</v>
      </c>
      <c r="D102" s="463" t="s">
        <v>1103</v>
      </c>
      <c r="E102" s="422">
        <f>'Тарифные ставки'!$B$5</f>
        <v>137.4825</v>
      </c>
      <c r="F102" s="422">
        <v>0.67</v>
      </c>
      <c r="G102" s="398">
        <f t="shared" si="5"/>
        <v>92.113275</v>
      </c>
      <c r="H102" s="424">
        <f>G102*'Тарифные ставки'!$B$13</f>
        <v>237.6522495</v>
      </c>
      <c r="I102" s="424">
        <f>H102*'Тарифные ставки'!$B$14*'Тарифные ставки'!$B$15</f>
        <v>288.034526394</v>
      </c>
      <c r="J102" s="398">
        <f>I102-I102/'Тарифные ставки'!$B$15</f>
        <v>48.00575439899998</v>
      </c>
      <c r="K102" s="398">
        <v>240.95168460000002</v>
      </c>
      <c r="L102" s="424">
        <f t="shared" si="6"/>
        <v>19.540366307113175</v>
      </c>
      <c r="S102" s="361">
        <f t="shared" si="7"/>
        <v>0</v>
      </c>
    </row>
    <row r="103" spans="1:19" ht="15.75">
      <c r="A103" s="136" t="s">
        <v>1459</v>
      </c>
      <c r="B103" s="119" t="s">
        <v>1460</v>
      </c>
      <c r="C103" s="93" t="s">
        <v>1207</v>
      </c>
      <c r="D103" s="463" t="s">
        <v>1103</v>
      </c>
      <c r="E103" s="422">
        <f>'Тарифные ставки'!$B$5</f>
        <v>137.4825</v>
      </c>
      <c r="F103" s="422">
        <v>0.17</v>
      </c>
      <c r="G103" s="398">
        <f t="shared" si="5"/>
        <v>23.372025</v>
      </c>
      <c r="H103" s="424">
        <f>G103*'Тарифные ставки'!$B$13</f>
        <v>60.29982450000001</v>
      </c>
      <c r="I103" s="424">
        <f>H103*'Тарифные ставки'!$B$14*'Тарифные ставки'!$B$15</f>
        <v>73.083387294</v>
      </c>
      <c r="J103" s="398">
        <f>I103-I103/'Тарифные ставки'!$B$15</f>
        <v>12.180564548999996</v>
      </c>
      <c r="K103" s="398">
        <v>61.13699460000001</v>
      </c>
      <c r="L103" s="424">
        <f t="shared" si="6"/>
        <v>19.54036630711316</v>
      </c>
      <c r="S103" s="361">
        <f t="shared" si="7"/>
        <v>0</v>
      </c>
    </row>
    <row r="104" spans="1:19" ht="15.75">
      <c r="A104" s="136" t="s">
        <v>1461</v>
      </c>
      <c r="B104" s="125" t="s">
        <v>1700</v>
      </c>
      <c r="C104" s="93" t="s">
        <v>1416</v>
      </c>
      <c r="D104" s="463" t="s">
        <v>1103</v>
      </c>
      <c r="E104" s="422">
        <f>'Тарифные ставки'!$B$5</f>
        <v>137.4825</v>
      </c>
      <c r="F104" s="422">
        <v>0.5</v>
      </c>
      <c r="G104" s="398">
        <f t="shared" si="5"/>
        <v>68.74125</v>
      </c>
      <c r="H104" s="424">
        <f>G104*'Тарифные ставки'!$B$13</f>
        <v>177.35242499999998</v>
      </c>
      <c r="I104" s="424">
        <f>H104*'Тарифные ставки'!$B$14*'Тарифные ставки'!$B$15</f>
        <v>214.95113909999998</v>
      </c>
      <c r="J104" s="398">
        <f>I104-I104/'Тарифные ставки'!$B$15</f>
        <v>35.82518984999999</v>
      </c>
      <c r="K104" s="398">
        <v>179.81469</v>
      </c>
      <c r="L104" s="424">
        <f t="shared" si="6"/>
        <v>19.54036630711316</v>
      </c>
      <c r="S104" s="361">
        <f t="shared" si="7"/>
        <v>0</v>
      </c>
    </row>
    <row r="105" spans="1:19" ht="15.75">
      <c r="A105" s="136" t="s">
        <v>1701</v>
      </c>
      <c r="B105" s="120" t="s">
        <v>1702</v>
      </c>
      <c r="C105" s="93" t="s">
        <v>811</v>
      </c>
      <c r="D105" s="463" t="s">
        <v>1103</v>
      </c>
      <c r="E105" s="422">
        <f>'Тарифные ставки'!$B$5</f>
        <v>137.4825</v>
      </c>
      <c r="F105" s="422">
        <v>0.67</v>
      </c>
      <c r="G105" s="398">
        <f t="shared" si="5"/>
        <v>92.113275</v>
      </c>
      <c r="H105" s="424">
        <f>G105*'Тарифные ставки'!$B$13</f>
        <v>237.6522495</v>
      </c>
      <c r="I105" s="424">
        <f>H105*'Тарифные ставки'!$B$14*'Тарифные ставки'!$B$15</f>
        <v>288.034526394</v>
      </c>
      <c r="J105" s="398">
        <f>I105-I105/'Тарифные ставки'!$B$15</f>
        <v>48.00575439899998</v>
      </c>
      <c r="K105" s="398">
        <v>240.95168460000002</v>
      </c>
      <c r="L105" s="424">
        <f t="shared" si="6"/>
        <v>19.540366307113175</v>
      </c>
      <c r="S105" s="361">
        <f t="shared" si="7"/>
        <v>0</v>
      </c>
    </row>
    <row r="106" spans="1:19" ht="63">
      <c r="A106" s="459" t="s">
        <v>83</v>
      </c>
      <c r="B106" s="371" t="s">
        <v>82</v>
      </c>
      <c r="C106" s="371" t="s">
        <v>77</v>
      </c>
      <c r="D106" s="371" t="s">
        <v>81</v>
      </c>
      <c r="E106" s="388" t="s">
        <v>85</v>
      </c>
      <c r="F106" s="477" t="s">
        <v>78</v>
      </c>
      <c r="G106" s="477" t="s">
        <v>79</v>
      </c>
      <c r="H106" s="477" t="s">
        <v>80</v>
      </c>
      <c r="I106" s="382" t="s">
        <v>843</v>
      </c>
      <c r="J106" s="382" t="s">
        <v>2349</v>
      </c>
      <c r="K106" s="535"/>
      <c r="L106" s="538"/>
      <c r="S106" s="361"/>
    </row>
    <row r="107" spans="1:19" ht="15.75">
      <c r="A107" s="136" t="s">
        <v>1703</v>
      </c>
      <c r="B107" s="125" t="s">
        <v>1704</v>
      </c>
      <c r="C107" s="93" t="s">
        <v>194</v>
      </c>
      <c r="D107" s="463" t="s">
        <v>1103</v>
      </c>
      <c r="E107" s="422">
        <f>'Тарифные ставки'!$B$5</f>
        <v>137.4825</v>
      </c>
      <c r="F107" s="422">
        <v>0.3</v>
      </c>
      <c r="G107" s="398">
        <f t="shared" si="5"/>
        <v>41.244749999999996</v>
      </c>
      <c r="H107" s="424">
        <f>G107*'Тарифные ставки'!$B$13</f>
        <v>106.41145499999999</v>
      </c>
      <c r="I107" s="424">
        <f>H107*'Тарифные ставки'!$B$14*'Тарифные ставки'!$B$15</f>
        <v>128.97068345999998</v>
      </c>
      <c r="J107" s="398">
        <f>I107-I107/'Тарифные ставки'!$B$15</f>
        <v>21.495113909999986</v>
      </c>
      <c r="K107" s="398">
        <v>107.88881400000002</v>
      </c>
      <c r="L107" s="424">
        <f t="shared" si="6"/>
        <v>19.540366307113132</v>
      </c>
      <c r="S107" s="361">
        <f t="shared" si="7"/>
        <v>0</v>
      </c>
    </row>
    <row r="108" spans="1:19" ht="31.5">
      <c r="A108" s="136" t="s">
        <v>1705</v>
      </c>
      <c r="B108" s="125" t="s">
        <v>1706</v>
      </c>
      <c r="C108" s="93" t="s">
        <v>812</v>
      </c>
      <c r="D108" s="463" t="s">
        <v>1103</v>
      </c>
      <c r="E108" s="422">
        <f>'Тарифные ставки'!$B$5</f>
        <v>137.4825</v>
      </c>
      <c r="F108" s="422">
        <v>0.5</v>
      </c>
      <c r="G108" s="398">
        <f t="shared" si="5"/>
        <v>68.74125</v>
      </c>
      <c r="H108" s="424">
        <f>G108*'Тарифные ставки'!$B$13</f>
        <v>177.35242499999998</v>
      </c>
      <c r="I108" s="424">
        <f>H108*'Тарифные ставки'!$B$14*'Тарифные ставки'!$B$15</f>
        <v>214.95113909999998</v>
      </c>
      <c r="J108" s="398">
        <f>I108-I108/'Тарифные ставки'!$B$15</f>
        <v>35.82518984999999</v>
      </c>
      <c r="K108" s="398">
        <v>179.81469</v>
      </c>
      <c r="L108" s="424">
        <f t="shared" si="6"/>
        <v>19.54036630711316</v>
      </c>
      <c r="S108" s="361">
        <f t="shared" si="7"/>
        <v>0</v>
      </c>
    </row>
    <row r="109" spans="1:19" ht="15.75">
      <c r="A109" s="136" t="s">
        <v>1707</v>
      </c>
      <c r="B109" s="581" t="s">
        <v>1708</v>
      </c>
      <c r="C109" s="93" t="s">
        <v>807</v>
      </c>
      <c r="D109" s="463" t="s">
        <v>1103</v>
      </c>
      <c r="E109" s="422">
        <f>'Тарифные ставки'!$B$5</f>
        <v>137.4825</v>
      </c>
      <c r="F109" s="422">
        <v>0.33</v>
      </c>
      <c r="G109" s="398">
        <f t="shared" si="5"/>
        <v>45.369225</v>
      </c>
      <c r="H109" s="424">
        <f>G109*'Тарифные ставки'!$B$13</f>
        <v>117.0526005</v>
      </c>
      <c r="I109" s="424">
        <f>H109*'Тарифные ставки'!$B$14*'Тарифные ставки'!$B$15</f>
        <v>141.867751806</v>
      </c>
      <c r="J109" s="398">
        <f>I109-I109/'Тарифные ставки'!$B$15</f>
        <v>23.64462530099999</v>
      </c>
      <c r="K109" s="398">
        <v>118.6776954</v>
      </c>
      <c r="L109" s="424">
        <f t="shared" si="6"/>
        <v>19.540366307113175</v>
      </c>
      <c r="S109" s="361">
        <f t="shared" si="7"/>
        <v>0</v>
      </c>
    </row>
    <row r="110" spans="1:19" ht="31.5">
      <c r="A110" s="136" t="s">
        <v>471</v>
      </c>
      <c r="B110" s="125" t="s">
        <v>472</v>
      </c>
      <c r="C110" s="93" t="s">
        <v>194</v>
      </c>
      <c r="D110" s="463" t="s">
        <v>1103</v>
      </c>
      <c r="E110" s="422">
        <f>'Тарифные ставки'!$B$5</f>
        <v>137.4825</v>
      </c>
      <c r="F110" s="422">
        <v>0.67</v>
      </c>
      <c r="G110" s="398">
        <f t="shared" si="5"/>
        <v>92.113275</v>
      </c>
      <c r="H110" s="424">
        <f>G110*'Тарифные ставки'!$B$13</f>
        <v>237.6522495</v>
      </c>
      <c r="I110" s="424">
        <f>H110*'Тарифные ставки'!$B$14*'Тарифные ставки'!$B$15</f>
        <v>288.034526394</v>
      </c>
      <c r="J110" s="398">
        <f>I110-I110/'Тарифные ставки'!$B$15</f>
        <v>48.00575439899998</v>
      </c>
      <c r="K110" s="398">
        <v>240.95168460000002</v>
      </c>
      <c r="L110" s="424">
        <f t="shared" si="6"/>
        <v>19.540366307113175</v>
      </c>
      <c r="S110" s="361">
        <f t="shared" si="7"/>
        <v>0</v>
      </c>
    </row>
    <row r="111" spans="1:19" ht="15.75">
      <c r="A111" s="136" t="s">
        <v>473</v>
      </c>
      <c r="B111" s="119" t="s">
        <v>474</v>
      </c>
      <c r="C111" s="93" t="s">
        <v>194</v>
      </c>
      <c r="D111" s="463" t="s">
        <v>1103</v>
      </c>
      <c r="E111" s="422">
        <f>'Тарифные ставки'!$B$5</f>
        <v>137.4825</v>
      </c>
      <c r="F111" s="422">
        <v>0.25</v>
      </c>
      <c r="G111" s="398">
        <f>E111*F111</f>
        <v>34.370625</v>
      </c>
      <c r="H111" s="424">
        <f>G111*'Тарифные ставки'!$B$13</f>
        <v>88.67621249999999</v>
      </c>
      <c r="I111" s="424">
        <f>H111*'Тарифные ставки'!$B$14*'Тарифные ставки'!$B$15</f>
        <v>107.47556954999999</v>
      </c>
      <c r="J111" s="398">
        <f>I111-I111/'Тарифные ставки'!$B$15</f>
        <v>17.912594924999993</v>
      </c>
      <c r="K111" s="398">
        <v>89.907345</v>
      </c>
      <c r="L111" s="424">
        <f t="shared" si="6"/>
        <v>19.54036630711316</v>
      </c>
      <c r="S111" s="361">
        <f t="shared" si="7"/>
        <v>0</v>
      </c>
    </row>
    <row r="112" spans="1:19" ht="15.75">
      <c r="A112" s="136" t="s">
        <v>475</v>
      </c>
      <c r="B112" s="119" t="s">
        <v>476</v>
      </c>
      <c r="C112" s="93" t="s">
        <v>1764</v>
      </c>
      <c r="D112" s="463" t="s">
        <v>1103</v>
      </c>
      <c r="E112" s="422">
        <f>'Тарифные ставки'!$B$5</f>
        <v>137.4825</v>
      </c>
      <c r="F112" s="422">
        <v>0.5</v>
      </c>
      <c r="G112" s="398">
        <f>E112*F112</f>
        <v>68.74125</v>
      </c>
      <c r="H112" s="424">
        <f>G112*'Тарифные ставки'!$B$13</f>
        <v>177.35242499999998</v>
      </c>
      <c r="I112" s="424">
        <f>H112*'Тарифные ставки'!$B$14*'Тарифные ставки'!$B$15</f>
        <v>214.95113909999998</v>
      </c>
      <c r="J112" s="398">
        <f>I112-I112/'Тарифные ставки'!$B$15</f>
        <v>35.82518984999999</v>
      </c>
      <c r="K112" s="398">
        <v>179.81469</v>
      </c>
      <c r="L112" s="424">
        <f t="shared" si="6"/>
        <v>19.54036630711316</v>
      </c>
      <c r="S112" s="361">
        <f t="shared" si="7"/>
        <v>0</v>
      </c>
    </row>
    <row r="113" spans="1:19" ht="15.75">
      <c r="A113" s="136" t="s">
        <v>477</v>
      </c>
      <c r="B113" s="125" t="s">
        <v>478</v>
      </c>
      <c r="C113" s="93" t="s">
        <v>1141</v>
      </c>
      <c r="D113" s="463" t="s">
        <v>1103</v>
      </c>
      <c r="E113" s="422">
        <f>'Тарифные ставки'!$B$5</f>
        <v>137.4825</v>
      </c>
      <c r="F113" s="422">
        <v>0.6</v>
      </c>
      <c r="G113" s="398">
        <f>E113*F113</f>
        <v>82.48949999999999</v>
      </c>
      <c r="H113" s="424">
        <f>G113*'Тарифные ставки'!$B$13</f>
        <v>212.82290999999998</v>
      </c>
      <c r="I113" s="424">
        <f>H113*'Тарифные ставки'!$B$14*'Тарифные ставки'!$B$15</f>
        <v>257.94136691999995</v>
      </c>
      <c r="J113" s="398">
        <f>I113-I113/'Тарифные ставки'!$B$15</f>
        <v>42.99022781999997</v>
      </c>
      <c r="K113" s="398">
        <v>215.77762800000005</v>
      </c>
      <c r="L113" s="424">
        <f t="shared" si="6"/>
        <v>19.540366307113132</v>
      </c>
      <c r="S113" s="361">
        <f t="shared" si="7"/>
        <v>0</v>
      </c>
    </row>
    <row r="114" spans="1:19" ht="18.75" customHeight="1">
      <c r="A114" s="136" t="s">
        <v>479</v>
      </c>
      <c r="B114" s="119" t="s">
        <v>480</v>
      </c>
      <c r="C114" s="93" t="s">
        <v>725</v>
      </c>
      <c r="D114" s="463" t="s">
        <v>1103</v>
      </c>
      <c r="E114" s="422">
        <f>'Тарифные ставки'!$B$5</f>
        <v>137.4825</v>
      </c>
      <c r="F114" s="422">
        <v>0.3</v>
      </c>
      <c r="G114" s="398">
        <f>E114*F114</f>
        <v>41.244749999999996</v>
      </c>
      <c r="H114" s="424">
        <f>G114*'Тарифные ставки'!$B$13</f>
        <v>106.41145499999999</v>
      </c>
      <c r="I114" s="424">
        <f>H114*'Тарифные ставки'!$B$14*'Тарифные ставки'!$B$15</f>
        <v>128.97068345999998</v>
      </c>
      <c r="J114" s="398">
        <f>I114-I114/'Тарифные ставки'!$B$15</f>
        <v>21.495113909999986</v>
      </c>
      <c r="K114" s="398">
        <v>107.88881400000002</v>
      </c>
      <c r="L114" s="424">
        <f t="shared" si="6"/>
        <v>19.540366307113132</v>
      </c>
      <c r="S114" s="361">
        <f t="shared" si="7"/>
        <v>0</v>
      </c>
    </row>
    <row r="115" spans="1:19" ht="15.75">
      <c r="A115" s="128"/>
      <c r="B115" s="532" t="s">
        <v>1209</v>
      </c>
      <c r="C115" s="24"/>
      <c r="D115" s="24"/>
      <c r="E115" s="422"/>
      <c r="F115" s="421"/>
      <c r="G115" s="421"/>
      <c r="H115" s="424"/>
      <c r="I115" s="424"/>
      <c r="J115" s="421"/>
      <c r="K115" s="424"/>
      <c r="L115" s="424"/>
      <c r="S115" s="361"/>
    </row>
    <row r="116" spans="1:19" ht="47.25">
      <c r="A116" s="136" t="s">
        <v>481</v>
      </c>
      <c r="B116" s="124" t="s">
        <v>482</v>
      </c>
      <c r="C116" s="93" t="s">
        <v>1210</v>
      </c>
      <c r="D116" s="463" t="s">
        <v>1103</v>
      </c>
      <c r="E116" s="422">
        <f>'Тарифные ставки'!$B$5</f>
        <v>137.4825</v>
      </c>
      <c r="F116" s="422">
        <v>3</v>
      </c>
      <c r="G116" s="543">
        <f aca="true" t="shared" si="8" ref="G116:G200">E116*F116</f>
        <v>412.4475</v>
      </c>
      <c r="H116" s="424">
        <f>G116*'Тарифные ставки'!$B$13</f>
        <v>1064.11455</v>
      </c>
      <c r="I116" s="424">
        <f>H116*'Тарифные ставки'!$B$14*'Тарифные ставки'!$B$15</f>
        <v>1289.7068345999999</v>
      </c>
      <c r="J116" s="598">
        <f>I116-I116/'Тарифные ставки'!$B$15</f>
        <v>214.95113909999986</v>
      </c>
      <c r="K116" s="543">
        <v>1078.88814</v>
      </c>
      <c r="L116" s="424">
        <f t="shared" si="6"/>
        <v>19.54036630711316</v>
      </c>
      <c r="S116" s="361">
        <f t="shared" si="7"/>
        <v>0</v>
      </c>
    </row>
    <row r="117" spans="1:19" ht="31.5">
      <c r="A117" s="136" t="s">
        <v>483</v>
      </c>
      <c r="B117" s="124" t="s">
        <v>484</v>
      </c>
      <c r="C117" s="93" t="s">
        <v>1210</v>
      </c>
      <c r="D117" s="463" t="s">
        <v>1103</v>
      </c>
      <c r="E117" s="422">
        <f>'Тарифные ставки'!$B$5</f>
        <v>137.4825</v>
      </c>
      <c r="F117" s="422">
        <v>1.2</v>
      </c>
      <c r="G117" s="401">
        <f t="shared" si="8"/>
        <v>164.97899999999998</v>
      </c>
      <c r="H117" s="424">
        <f>G117*'Тарифные ставки'!$B$13</f>
        <v>425.64581999999996</v>
      </c>
      <c r="I117" s="424">
        <f>H117*'Тарифные ставки'!$B$14*'Тарифные ставки'!$B$15</f>
        <v>515.8827338399999</v>
      </c>
      <c r="J117" s="544">
        <f>I117-I117/'Тарифные ставки'!$B$15</f>
        <v>85.98045563999995</v>
      </c>
      <c r="K117" s="401">
        <v>431.5552560000001</v>
      </c>
      <c r="L117" s="424">
        <f t="shared" si="6"/>
        <v>19.540366307113132</v>
      </c>
      <c r="S117" s="361">
        <f t="shared" si="7"/>
        <v>0</v>
      </c>
    </row>
    <row r="118" spans="1:19" ht="15.75">
      <c r="A118" s="136" t="s">
        <v>485</v>
      </c>
      <c r="B118" s="124" t="s">
        <v>2213</v>
      </c>
      <c r="C118" s="93" t="s">
        <v>811</v>
      </c>
      <c r="D118" s="463" t="s">
        <v>1103</v>
      </c>
      <c r="E118" s="422">
        <f>'Тарифные ставки'!$B$5</f>
        <v>137.4825</v>
      </c>
      <c r="F118" s="422">
        <v>0.5</v>
      </c>
      <c r="G118" s="401">
        <f t="shared" si="8"/>
        <v>68.74125</v>
      </c>
      <c r="H118" s="424">
        <f>G118*'Тарифные ставки'!$B$13</f>
        <v>177.35242499999998</v>
      </c>
      <c r="I118" s="424">
        <f>H118*'Тарифные ставки'!$B$14*'Тарифные ставки'!$B$15</f>
        <v>214.95113909999998</v>
      </c>
      <c r="J118" s="544">
        <f>I118-I118/'Тарифные ставки'!$B$15</f>
        <v>35.82518984999999</v>
      </c>
      <c r="K118" s="401">
        <v>179.81469</v>
      </c>
      <c r="L118" s="424">
        <f t="shared" si="6"/>
        <v>19.54036630711316</v>
      </c>
      <c r="S118" s="361">
        <f t="shared" si="7"/>
        <v>0</v>
      </c>
    </row>
    <row r="119" spans="1:19" ht="15.75">
      <c r="A119" s="136" t="s">
        <v>1211</v>
      </c>
      <c r="B119" s="124" t="s">
        <v>1215</v>
      </c>
      <c r="C119" s="93" t="s">
        <v>1214</v>
      </c>
      <c r="D119" s="463" t="s">
        <v>1103</v>
      </c>
      <c r="E119" s="422">
        <f>'Тарифные ставки'!$B$5</f>
        <v>137.4825</v>
      </c>
      <c r="F119" s="422">
        <v>2</v>
      </c>
      <c r="G119" s="401">
        <f t="shared" si="8"/>
        <v>274.965</v>
      </c>
      <c r="H119" s="424">
        <f>G119*'Тарифные ставки'!$B$13</f>
        <v>709.4096999999999</v>
      </c>
      <c r="I119" s="424">
        <f>H119*'Тарифные ставки'!$B$14*'Тарифные ставки'!$B$15</f>
        <v>859.8045563999999</v>
      </c>
      <c r="J119" s="544">
        <f>I119-I119/'Тарифные ставки'!$B$15</f>
        <v>143.30075939999995</v>
      </c>
      <c r="K119" s="401">
        <v>719.25876</v>
      </c>
      <c r="L119" s="424">
        <f t="shared" si="6"/>
        <v>19.54036630711316</v>
      </c>
      <c r="S119" s="361">
        <f t="shared" si="7"/>
        <v>0</v>
      </c>
    </row>
    <row r="120" spans="1:19" ht="15.75">
      <c r="A120" s="136" t="s">
        <v>1212</v>
      </c>
      <c r="B120" s="124" t="s">
        <v>1216</v>
      </c>
      <c r="C120" s="93" t="s">
        <v>1214</v>
      </c>
      <c r="D120" s="463" t="s">
        <v>1103</v>
      </c>
      <c r="E120" s="422">
        <f>'Тарифные ставки'!$B$5</f>
        <v>137.4825</v>
      </c>
      <c r="F120" s="422">
        <v>0.75</v>
      </c>
      <c r="G120" s="401">
        <f t="shared" si="8"/>
        <v>103.111875</v>
      </c>
      <c r="H120" s="424">
        <f>G120*'Тарифные ставки'!$B$13</f>
        <v>266.0286375</v>
      </c>
      <c r="I120" s="424">
        <f>H120*'Тарифные ставки'!$B$14*'Тарифные ставки'!$B$15</f>
        <v>322.42670864999997</v>
      </c>
      <c r="J120" s="544">
        <f>I120-I120/'Тарифные ставки'!$B$15</f>
        <v>53.737784774999966</v>
      </c>
      <c r="K120" s="401">
        <v>269.722035</v>
      </c>
      <c r="L120" s="424">
        <f t="shared" si="6"/>
        <v>19.54036630711316</v>
      </c>
      <c r="S120" s="361">
        <f t="shared" si="7"/>
        <v>0</v>
      </c>
    </row>
    <row r="121" spans="1:19" ht="15.75">
      <c r="A121" s="136" t="s">
        <v>1213</v>
      </c>
      <c r="B121" s="124" t="s">
        <v>1217</v>
      </c>
      <c r="C121" s="93" t="s">
        <v>1214</v>
      </c>
      <c r="D121" s="463" t="s">
        <v>1103</v>
      </c>
      <c r="E121" s="422">
        <f>'Тарифные ставки'!$B$5</f>
        <v>137.4825</v>
      </c>
      <c r="F121" s="422">
        <v>1.25</v>
      </c>
      <c r="G121" s="401">
        <f t="shared" si="8"/>
        <v>171.85312499999998</v>
      </c>
      <c r="H121" s="424">
        <f>G121*'Тарифные ставки'!$B$13</f>
        <v>443.3810624999999</v>
      </c>
      <c r="I121" s="424">
        <f>H121*'Тарифные ставки'!$B$14*'Тарифные ставки'!$B$15</f>
        <v>537.3778477499999</v>
      </c>
      <c r="J121" s="401">
        <f>I121-I121/'Тарифные ставки'!$B$15</f>
        <v>89.56297462499998</v>
      </c>
      <c r="K121" s="401">
        <v>449.5367250000001</v>
      </c>
      <c r="L121" s="424">
        <f t="shared" si="6"/>
        <v>19.540366307113118</v>
      </c>
      <c r="S121" s="361">
        <f t="shared" si="7"/>
        <v>0</v>
      </c>
    </row>
    <row r="122" spans="1:19" ht="15.75">
      <c r="A122" s="136" t="s">
        <v>2214</v>
      </c>
      <c r="B122" s="124" t="s">
        <v>2215</v>
      </c>
      <c r="C122" s="93" t="s">
        <v>1214</v>
      </c>
      <c r="D122" s="463" t="s">
        <v>1103</v>
      </c>
      <c r="E122" s="422">
        <f>'Тарифные ставки'!$B$5</f>
        <v>137.4825</v>
      </c>
      <c r="F122" s="422">
        <v>1.11</v>
      </c>
      <c r="G122" s="401">
        <f t="shared" si="8"/>
        <v>152.605575</v>
      </c>
      <c r="H122" s="424">
        <f>G122*'Тарифные ставки'!$B$13</f>
        <v>393.7223835</v>
      </c>
      <c r="I122" s="424">
        <f>H122*'Тарифные ставки'!$B$14*'Тарифные ставки'!$B$15</f>
        <v>477.19152880199994</v>
      </c>
      <c r="J122" s="401">
        <f>I122-I122/'Тарифные ставки'!$B$15</f>
        <v>79.53192146699996</v>
      </c>
      <c r="K122" s="401">
        <v>399.18861180000005</v>
      </c>
      <c r="L122" s="424">
        <f t="shared" si="6"/>
        <v>19.540366307113132</v>
      </c>
      <c r="S122" s="361">
        <f t="shared" si="7"/>
        <v>0</v>
      </c>
    </row>
    <row r="123" spans="1:19" ht="15.75">
      <c r="A123" s="136" t="s">
        <v>2216</v>
      </c>
      <c r="B123" s="124" t="s">
        <v>2217</v>
      </c>
      <c r="C123" s="93" t="s">
        <v>1214</v>
      </c>
      <c r="D123" s="463" t="s">
        <v>1103</v>
      </c>
      <c r="E123" s="422">
        <f>'Тарифные ставки'!$B$5</f>
        <v>137.4825</v>
      </c>
      <c r="F123" s="422">
        <v>0.4</v>
      </c>
      <c r="G123" s="401">
        <f t="shared" si="8"/>
        <v>54.992999999999995</v>
      </c>
      <c r="H123" s="424">
        <f>G123*'Тарифные ставки'!$B$13</f>
        <v>141.88194</v>
      </c>
      <c r="I123" s="424">
        <f>H123*'Тарифные ставки'!$B$14*'Тарифные ставки'!$B$15</f>
        <v>171.96091127999998</v>
      </c>
      <c r="J123" s="401">
        <f>I123-I123/'Тарифные ставки'!$B$15</f>
        <v>28.66015188</v>
      </c>
      <c r="K123" s="401">
        <v>143.85175200000003</v>
      </c>
      <c r="L123" s="424">
        <f t="shared" si="6"/>
        <v>19.540366307113132</v>
      </c>
      <c r="S123" s="361">
        <f t="shared" si="7"/>
        <v>0</v>
      </c>
    </row>
    <row r="124" spans="1:19" ht="15.75">
      <c r="A124" s="136" t="s">
        <v>2218</v>
      </c>
      <c r="B124" s="124" t="s">
        <v>2219</v>
      </c>
      <c r="C124" s="93" t="s">
        <v>1214</v>
      </c>
      <c r="D124" s="463" t="s">
        <v>1103</v>
      </c>
      <c r="E124" s="422">
        <f>'Тарифные ставки'!$B$5</f>
        <v>137.4825</v>
      </c>
      <c r="F124" s="422">
        <v>0.71</v>
      </c>
      <c r="G124" s="401">
        <f t="shared" si="8"/>
        <v>97.61257499999999</v>
      </c>
      <c r="H124" s="424">
        <f>G124*'Тарифные ставки'!$B$13</f>
        <v>251.8404435</v>
      </c>
      <c r="I124" s="424">
        <f>H124*'Тарифные ставки'!$B$14*'Тарифные ставки'!$B$15</f>
        <v>305.230617522</v>
      </c>
      <c r="J124" s="401">
        <f>I124-I124/'Тарифные ставки'!$B$15</f>
        <v>50.87176958699999</v>
      </c>
      <c r="K124" s="401">
        <v>255.3368598</v>
      </c>
      <c r="L124" s="424">
        <f t="shared" si="6"/>
        <v>19.54036630711316</v>
      </c>
      <c r="S124" s="361">
        <f t="shared" si="7"/>
        <v>0</v>
      </c>
    </row>
    <row r="125" spans="1:19" ht="15.75">
      <c r="A125" s="136" t="s">
        <v>1222</v>
      </c>
      <c r="B125" s="124" t="s">
        <v>1219</v>
      </c>
      <c r="C125" s="93" t="s">
        <v>1134</v>
      </c>
      <c r="D125" s="463" t="s">
        <v>1103</v>
      </c>
      <c r="E125" s="422">
        <f>'Тарифные ставки'!$B$5</f>
        <v>137.4825</v>
      </c>
      <c r="F125" s="422">
        <v>0.32</v>
      </c>
      <c r="G125" s="401">
        <f t="shared" si="8"/>
        <v>43.9944</v>
      </c>
      <c r="H125" s="424">
        <f>G125*'Тарифные ставки'!$B$13</f>
        <v>113.505552</v>
      </c>
      <c r="I125" s="424">
        <f>H125*'Тарифные ставки'!$B$14*'Тарифные ставки'!$B$15</f>
        <v>137.568729024</v>
      </c>
      <c r="J125" s="401">
        <f>I125-I125/'Тарифные ставки'!$B$15</f>
        <v>22.92812150399999</v>
      </c>
      <c r="K125" s="401">
        <v>115.08140159999999</v>
      </c>
      <c r="L125" s="424">
        <f t="shared" si="6"/>
        <v>19.540366307113175</v>
      </c>
      <c r="S125" s="361">
        <f t="shared" si="7"/>
        <v>0</v>
      </c>
    </row>
    <row r="126" spans="1:19" ht="15.75">
      <c r="A126" s="136" t="s">
        <v>1223</v>
      </c>
      <c r="B126" s="124" t="s">
        <v>1220</v>
      </c>
      <c r="C126" s="93" t="s">
        <v>1134</v>
      </c>
      <c r="D126" s="463" t="s">
        <v>1103</v>
      </c>
      <c r="E126" s="422">
        <f>'Тарифные ставки'!$B$5</f>
        <v>137.4825</v>
      </c>
      <c r="F126" s="422">
        <v>0.16</v>
      </c>
      <c r="G126" s="401">
        <f t="shared" si="8"/>
        <v>21.9972</v>
      </c>
      <c r="H126" s="424">
        <f>G126*'Тарифные ставки'!$B$13</f>
        <v>56.752776</v>
      </c>
      <c r="I126" s="424">
        <f>H126*'Тарифные ставки'!$B$14*'Тарифные ставки'!$B$15</f>
        <v>68.784364512</v>
      </c>
      <c r="J126" s="401">
        <f>I126-I126/'Тарифные ставки'!$B$15</f>
        <v>11.464060751999995</v>
      </c>
      <c r="K126" s="401">
        <v>57.540700799999996</v>
      </c>
      <c r="L126" s="424">
        <f t="shared" si="6"/>
        <v>19.540366307113175</v>
      </c>
      <c r="S126" s="361">
        <f t="shared" si="7"/>
        <v>0</v>
      </c>
    </row>
    <row r="127" spans="1:19" ht="15.75">
      <c r="A127" s="136" t="s">
        <v>1224</v>
      </c>
      <c r="B127" s="124" t="s">
        <v>1221</v>
      </c>
      <c r="C127" s="93" t="s">
        <v>1134</v>
      </c>
      <c r="D127" s="463" t="s">
        <v>1103</v>
      </c>
      <c r="E127" s="422">
        <f>'Тарифные ставки'!$B$5</f>
        <v>137.4825</v>
      </c>
      <c r="F127" s="422">
        <v>0.16</v>
      </c>
      <c r="G127" s="401">
        <f t="shared" si="8"/>
        <v>21.9972</v>
      </c>
      <c r="H127" s="424">
        <f>G127*'Тарифные ставки'!$B$13</f>
        <v>56.752776</v>
      </c>
      <c r="I127" s="424">
        <f>H127*'Тарифные ставки'!$B$14*'Тарифные ставки'!$B$15</f>
        <v>68.784364512</v>
      </c>
      <c r="J127" s="401">
        <f>I127-I127/'Тарифные ставки'!$B$15</f>
        <v>11.464060751999995</v>
      </c>
      <c r="K127" s="401">
        <v>57.540700799999996</v>
      </c>
      <c r="L127" s="424">
        <f t="shared" si="6"/>
        <v>19.540366307113175</v>
      </c>
      <c r="S127" s="361">
        <f t="shared" si="7"/>
        <v>0</v>
      </c>
    </row>
    <row r="128" spans="1:19" ht="15.75">
      <c r="A128" s="136" t="s">
        <v>2220</v>
      </c>
      <c r="B128" s="124" t="s">
        <v>1218</v>
      </c>
      <c r="C128" s="93" t="s">
        <v>1134</v>
      </c>
      <c r="D128" s="463" t="s">
        <v>1103</v>
      </c>
      <c r="E128" s="422">
        <f>'Тарифные ставки'!$B$5</f>
        <v>137.4825</v>
      </c>
      <c r="F128" s="422">
        <v>0.6</v>
      </c>
      <c r="G128" s="401">
        <f t="shared" si="8"/>
        <v>82.48949999999999</v>
      </c>
      <c r="H128" s="424">
        <f>G128*'Тарифные ставки'!$B$13</f>
        <v>212.82290999999998</v>
      </c>
      <c r="I128" s="424">
        <f>H128*'Тарифные ставки'!$B$14*'Тарифные ставки'!$B$15</f>
        <v>257.94136691999995</v>
      </c>
      <c r="J128" s="401">
        <f>I128-I128/'Тарифные ставки'!$B$15</f>
        <v>42.99022781999997</v>
      </c>
      <c r="K128" s="401">
        <v>215.77762800000005</v>
      </c>
      <c r="L128" s="424">
        <f t="shared" si="6"/>
        <v>19.540366307113132</v>
      </c>
      <c r="S128" s="361">
        <f t="shared" si="7"/>
        <v>0</v>
      </c>
    </row>
    <row r="129" spans="1:19" ht="15.75">
      <c r="A129" s="136" t="s">
        <v>2221</v>
      </c>
      <c r="B129" s="124" t="s">
        <v>2222</v>
      </c>
      <c r="C129" s="93" t="s">
        <v>1134</v>
      </c>
      <c r="D129" s="463" t="s">
        <v>1103</v>
      </c>
      <c r="E129" s="422">
        <f>'Тарифные ставки'!$B$5</f>
        <v>137.4825</v>
      </c>
      <c r="F129" s="422">
        <v>0.3</v>
      </c>
      <c r="G129" s="401">
        <f t="shared" si="8"/>
        <v>41.244749999999996</v>
      </c>
      <c r="H129" s="424">
        <f>G129*'Тарифные ставки'!$B$13</f>
        <v>106.41145499999999</v>
      </c>
      <c r="I129" s="424">
        <f>H129*'Тарифные ставки'!$B$14*'Тарифные ставки'!$B$15</f>
        <v>128.97068345999998</v>
      </c>
      <c r="J129" s="401">
        <f>I129-I129/'Тарифные ставки'!$B$15</f>
        <v>21.495113909999986</v>
      </c>
      <c r="K129" s="401">
        <v>107.88881400000002</v>
      </c>
      <c r="L129" s="424">
        <f t="shared" si="6"/>
        <v>19.540366307113132</v>
      </c>
      <c r="S129" s="361">
        <f t="shared" si="7"/>
        <v>0</v>
      </c>
    </row>
    <row r="130" spans="1:19" ht="15.75">
      <c r="A130" s="136" t="s">
        <v>2223</v>
      </c>
      <c r="B130" s="124" t="s">
        <v>2224</v>
      </c>
      <c r="C130" s="93" t="s">
        <v>1134</v>
      </c>
      <c r="D130" s="463" t="s">
        <v>1103</v>
      </c>
      <c r="E130" s="422">
        <f>'Тарифные ставки'!$B$5</f>
        <v>137.4825</v>
      </c>
      <c r="F130" s="422">
        <v>0.3</v>
      </c>
      <c r="G130" s="401">
        <f t="shared" si="8"/>
        <v>41.244749999999996</v>
      </c>
      <c r="H130" s="424">
        <f>G130*'Тарифные ставки'!$B$13</f>
        <v>106.41145499999999</v>
      </c>
      <c r="I130" s="424">
        <f>H130*'Тарифные ставки'!$B$14*'Тарифные ставки'!$B$15</f>
        <v>128.97068345999998</v>
      </c>
      <c r="J130" s="401">
        <f>I130-I130/'Тарифные ставки'!$B$15</f>
        <v>21.495113909999986</v>
      </c>
      <c r="K130" s="401">
        <v>107.88881400000002</v>
      </c>
      <c r="L130" s="424">
        <f t="shared" si="6"/>
        <v>19.540366307113132</v>
      </c>
      <c r="S130" s="361">
        <f t="shared" si="7"/>
        <v>0</v>
      </c>
    </row>
    <row r="131" spans="1:19" ht="15.75">
      <c r="A131" s="136" t="s">
        <v>1225</v>
      </c>
      <c r="B131" s="124" t="s">
        <v>1515</v>
      </c>
      <c r="C131" s="93" t="s">
        <v>1134</v>
      </c>
      <c r="D131" s="463" t="s">
        <v>1103</v>
      </c>
      <c r="E131" s="422">
        <f>'Тарифные ставки'!$B$5</f>
        <v>137.4825</v>
      </c>
      <c r="F131" s="422">
        <v>0.33</v>
      </c>
      <c r="G131" s="401">
        <f>E131*F131</f>
        <v>45.369225</v>
      </c>
      <c r="H131" s="424">
        <f>G131*'Тарифные ставки'!$B$13</f>
        <v>117.0526005</v>
      </c>
      <c r="I131" s="424">
        <f>H131*'Тарифные ставки'!$B$14*'Тарифные ставки'!$B$15</f>
        <v>141.867751806</v>
      </c>
      <c r="J131" s="401">
        <f>I131-I131/'Тарифные ставки'!$B$15</f>
        <v>23.64462530099999</v>
      </c>
      <c r="K131" s="401">
        <v>118.6776954</v>
      </c>
      <c r="L131" s="424">
        <f t="shared" si="6"/>
        <v>19.540366307113175</v>
      </c>
      <c r="S131" s="361">
        <f t="shared" si="7"/>
        <v>0</v>
      </c>
    </row>
    <row r="132" spans="1:19" ht="15.75">
      <c r="A132" s="136" t="s">
        <v>1226</v>
      </c>
      <c r="B132" s="124" t="s">
        <v>1516</v>
      </c>
      <c r="C132" s="93" t="s">
        <v>1134</v>
      </c>
      <c r="D132" s="463" t="s">
        <v>1103</v>
      </c>
      <c r="E132" s="422">
        <f>'Тарифные ставки'!$B$5</f>
        <v>137.4825</v>
      </c>
      <c r="F132" s="422">
        <v>1</v>
      </c>
      <c r="G132" s="401">
        <f>E132*F132</f>
        <v>137.4825</v>
      </c>
      <c r="H132" s="424">
        <f>G132*'Тарифные ставки'!$B$13</f>
        <v>354.70484999999996</v>
      </c>
      <c r="I132" s="424">
        <f>H132*'Тарифные ставки'!$B$14*'Тарифные ставки'!$B$15</f>
        <v>429.90227819999996</v>
      </c>
      <c r="J132" s="401">
        <f>I132-I132/'Тарифные ставки'!$B$15</f>
        <v>71.65037969999997</v>
      </c>
      <c r="K132" s="401">
        <v>359.62938</v>
      </c>
      <c r="L132" s="424">
        <f t="shared" si="6"/>
        <v>19.54036630711316</v>
      </c>
      <c r="S132" s="361">
        <f t="shared" si="7"/>
        <v>0</v>
      </c>
    </row>
    <row r="133" spans="1:19" ht="15.75">
      <c r="A133" s="136" t="s">
        <v>1227</v>
      </c>
      <c r="B133" s="124" t="s">
        <v>1517</v>
      </c>
      <c r="C133" s="93" t="s">
        <v>1134</v>
      </c>
      <c r="D133" s="463" t="s">
        <v>1103</v>
      </c>
      <c r="E133" s="422">
        <f>'Тарифные ставки'!$B$5</f>
        <v>137.4825</v>
      </c>
      <c r="F133" s="422">
        <v>1</v>
      </c>
      <c r="G133" s="401">
        <f>E133*F133</f>
        <v>137.4825</v>
      </c>
      <c r="H133" s="424">
        <f>G133*'Тарифные ставки'!$B$13</f>
        <v>354.70484999999996</v>
      </c>
      <c r="I133" s="424">
        <f>H133*'Тарифные ставки'!$B$14*'Тарифные ставки'!$B$15</f>
        <v>429.90227819999996</v>
      </c>
      <c r="J133" s="401">
        <f>I133-I133/'Тарифные ставки'!$B$15</f>
        <v>71.65037969999997</v>
      </c>
      <c r="K133" s="401">
        <v>359.62938</v>
      </c>
      <c r="L133" s="424">
        <f t="shared" si="6"/>
        <v>19.54036630711316</v>
      </c>
      <c r="S133" s="361">
        <f t="shared" si="7"/>
        <v>0</v>
      </c>
    </row>
    <row r="134" spans="1:19" ht="15.75">
      <c r="A134" s="136" t="s">
        <v>1228</v>
      </c>
      <c r="B134" s="124" t="s">
        <v>2225</v>
      </c>
      <c r="C134" s="93" t="s">
        <v>1840</v>
      </c>
      <c r="D134" s="463" t="s">
        <v>1103</v>
      </c>
      <c r="E134" s="422">
        <f>'Тарифные ставки'!$B$5</f>
        <v>137.4825</v>
      </c>
      <c r="F134" s="422">
        <v>1</v>
      </c>
      <c r="G134" s="543">
        <f t="shared" si="8"/>
        <v>137.4825</v>
      </c>
      <c r="H134" s="424">
        <f>G134*'Тарифные ставки'!$B$13</f>
        <v>354.70484999999996</v>
      </c>
      <c r="I134" s="424">
        <f>H134*'Тарифные ставки'!$B$14*'Тарифные ставки'!$B$15</f>
        <v>429.90227819999996</v>
      </c>
      <c r="J134" s="543">
        <f>I134-I134/'Тарифные ставки'!$B$15</f>
        <v>71.65037969999997</v>
      </c>
      <c r="K134" s="543">
        <v>359.62938</v>
      </c>
      <c r="L134" s="424">
        <f t="shared" si="6"/>
        <v>19.54036630711316</v>
      </c>
      <c r="S134" s="361">
        <f t="shared" si="7"/>
        <v>0</v>
      </c>
    </row>
    <row r="135" spans="1:19" ht="15.75">
      <c r="A135" s="136" t="s">
        <v>2226</v>
      </c>
      <c r="B135" s="124" t="s">
        <v>2227</v>
      </c>
      <c r="C135" s="93" t="s">
        <v>1229</v>
      </c>
      <c r="D135" s="463" t="s">
        <v>1103</v>
      </c>
      <c r="E135" s="422">
        <f>'Тарифные ставки'!$B$5</f>
        <v>137.4825</v>
      </c>
      <c r="F135" s="422">
        <v>0.7</v>
      </c>
      <c r="G135" s="401">
        <f t="shared" si="8"/>
        <v>96.23774999999999</v>
      </c>
      <c r="H135" s="424">
        <f>G135*'Тарифные ставки'!$B$13</f>
        <v>248.29339499999998</v>
      </c>
      <c r="I135" s="424">
        <f>H135*'Тарифные ставки'!$B$14*'Тарифные ставки'!$B$15</f>
        <v>300.9315947399999</v>
      </c>
      <c r="J135" s="401">
        <f>I135-I135/'Тарифные ставки'!$B$15</f>
        <v>50.15526578999999</v>
      </c>
      <c r="K135" s="401">
        <v>251.740566</v>
      </c>
      <c r="L135" s="424">
        <f t="shared" si="6"/>
        <v>19.540366307113132</v>
      </c>
      <c r="S135" s="361">
        <f t="shared" si="7"/>
        <v>0</v>
      </c>
    </row>
    <row r="136" spans="1:19" ht="15.75">
      <c r="A136" s="136" t="s">
        <v>2228</v>
      </c>
      <c r="B136" s="124" t="s">
        <v>2229</v>
      </c>
      <c r="C136" s="93" t="s">
        <v>1229</v>
      </c>
      <c r="D136" s="463" t="s">
        <v>1103</v>
      </c>
      <c r="E136" s="422">
        <f>'Тарифные ставки'!$B$5</f>
        <v>137.4825</v>
      </c>
      <c r="F136" s="422">
        <v>1.08</v>
      </c>
      <c r="G136" s="401">
        <f t="shared" si="8"/>
        <v>148.4811</v>
      </c>
      <c r="H136" s="424">
        <f>G136*'Тарифные ставки'!$B$13</f>
        <v>383.081238</v>
      </c>
      <c r="I136" s="424">
        <f>H136*'Тарифные ставки'!$B$14*'Тарифные ставки'!$B$15</f>
        <v>464.29446045599997</v>
      </c>
      <c r="J136" s="401">
        <f>I136-I136/'Тарифные ставки'!$B$15</f>
        <v>77.38241007599999</v>
      </c>
      <c r="K136" s="401">
        <v>388.39973040000007</v>
      </c>
      <c r="L136" s="424">
        <f t="shared" si="6"/>
        <v>19.54036630711316</v>
      </c>
      <c r="S136" s="361">
        <f t="shared" si="7"/>
        <v>0</v>
      </c>
    </row>
    <row r="137" spans="1:19" ht="15.75">
      <c r="A137" s="136" t="s">
        <v>2230</v>
      </c>
      <c r="B137" s="124" t="s">
        <v>2231</v>
      </c>
      <c r="C137" s="93" t="s">
        <v>1768</v>
      </c>
      <c r="D137" s="463" t="s">
        <v>1103</v>
      </c>
      <c r="E137" s="422">
        <f>'Тарифные ставки'!$B$5</f>
        <v>137.4825</v>
      </c>
      <c r="F137" s="422">
        <v>0.6</v>
      </c>
      <c r="G137" s="401">
        <f t="shared" si="8"/>
        <v>82.48949999999999</v>
      </c>
      <c r="H137" s="424">
        <f>G137*'Тарифные ставки'!$B$13</f>
        <v>212.82290999999998</v>
      </c>
      <c r="I137" s="424">
        <f>H137*'Тарифные ставки'!$B$14*'Тарифные ставки'!$B$15</f>
        <v>257.94136691999995</v>
      </c>
      <c r="J137" s="401">
        <f>I137-I137/'Тарифные ставки'!$B$15</f>
        <v>42.99022781999997</v>
      </c>
      <c r="K137" s="401">
        <v>215.77762800000005</v>
      </c>
      <c r="L137" s="424">
        <f aca="true" t="shared" si="9" ref="L137:L200">I137/K137*100-100</f>
        <v>19.540366307113132</v>
      </c>
      <c r="S137" s="361">
        <f aca="true" t="shared" si="10" ref="S137:S200">R137/I137*100</f>
        <v>0</v>
      </c>
    </row>
    <row r="138" spans="1:19" ht="15.75">
      <c r="A138" s="136" t="s">
        <v>2232</v>
      </c>
      <c r="B138" s="124" t="s">
        <v>2233</v>
      </c>
      <c r="C138" s="93" t="s">
        <v>1764</v>
      </c>
      <c r="D138" s="463" t="s">
        <v>1103</v>
      </c>
      <c r="E138" s="422">
        <f>'Тарифные ставки'!$B$5</f>
        <v>137.4825</v>
      </c>
      <c r="F138" s="422">
        <v>0.75</v>
      </c>
      <c r="G138" s="401">
        <f t="shared" si="8"/>
        <v>103.111875</v>
      </c>
      <c r="H138" s="424">
        <f>G138*'Тарифные ставки'!$B$13</f>
        <v>266.0286375</v>
      </c>
      <c r="I138" s="424">
        <f>H138*'Тарифные ставки'!$B$14*'Тарифные ставки'!$B$15</f>
        <v>322.42670864999997</v>
      </c>
      <c r="J138" s="401">
        <f>I138-I138/'Тарифные ставки'!$B$15</f>
        <v>53.737784774999966</v>
      </c>
      <c r="K138" s="401">
        <v>269.722035</v>
      </c>
      <c r="L138" s="424">
        <f t="shared" si="9"/>
        <v>19.54036630711316</v>
      </c>
      <c r="S138" s="361">
        <f t="shared" si="10"/>
        <v>0</v>
      </c>
    </row>
    <row r="139" spans="1:19" ht="15.75">
      <c r="A139" s="136" t="s">
        <v>2234</v>
      </c>
      <c r="B139" s="124" t="s">
        <v>2235</v>
      </c>
      <c r="C139" s="93" t="s">
        <v>1230</v>
      </c>
      <c r="D139" s="463" t="s">
        <v>1103</v>
      </c>
      <c r="E139" s="422">
        <f>'Тарифные ставки'!$B$5</f>
        <v>137.4825</v>
      </c>
      <c r="F139" s="422">
        <v>0.24</v>
      </c>
      <c r="G139" s="401">
        <f t="shared" si="8"/>
        <v>32.995799999999996</v>
      </c>
      <c r="H139" s="424">
        <f>G139*'Тарифные ставки'!$B$13</f>
        <v>85.12916399999999</v>
      </c>
      <c r="I139" s="424">
        <f>H139*'Тарифные ставки'!$B$14*'Тарифные ставки'!$B$15</f>
        <v>103.17654676799998</v>
      </c>
      <c r="J139" s="401">
        <f>I139-I139/'Тарифные ставки'!$B$15</f>
        <v>17.196091127999992</v>
      </c>
      <c r="K139" s="401">
        <v>86.31105120000002</v>
      </c>
      <c r="L139" s="424">
        <f t="shared" si="9"/>
        <v>19.540366307113118</v>
      </c>
      <c r="S139" s="361">
        <f t="shared" si="10"/>
        <v>0</v>
      </c>
    </row>
    <row r="140" spans="1:19" ht="15.75">
      <c r="A140" s="136" t="s">
        <v>2236</v>
      </c>
      <c r="B140" s="124" t="s">
        <v>2237</v>
      </c>
      <c r="C140" s="93" t="s">
        <v>1134</v>
      </c>
      <c r="D140" s="463" t="s">
        <v>1103</v>
      </c>
      <c r="E140" s="422">
        <f>'Тарифные ставки'!$B$5</f>
        <v>137.4825</v>
      </c>
      <c r="F140" s="422">
        <v>0.2</v>
      </c>
      <c r="G140" s="401">
        <f t="shared" si="8"/>
        <v>27.496499999999997</v>
      </c>
      <c r="H140" s="424">
        <f>G140*'Тарифные ставки'!$B$13</f>
        <v>70.94097</v>
      </c>
      <c r="I140" s="424">
        <f>H140*'Тарифные ставки'!$B$14*'Тарифные ставки'!$B$15</f>
        <v>85.98045563999999</v>
      </c>
      <c r="J140" s="401">
        <f>I140-I140/'Тарифные ставки'!$B$15</f>
        <v>14.33007594</v>
      </c>
      <c r="K140" s="401">
        <v>71.92587600000002</v>
      </c>
      <c r="L140" s="424">
        <f t="shared" si="9"/>
        <v>19.540366307113132</v>
      </c>
      <c r="S140" s="361">
        <f t="shared" si="10"/>
        <v>0</v>
      </c>
    </row>
    <row r="141" spans="1:19" ht="15.75">
      <c r="A141" s="136" t="s">
        <v>2238</v>
      </c>
      <c r="B141" s="124" t="s">
        <v>2239</v>
      </c>
      <c r="C141" s="93" t="s">
        <v>1231</v>
      </c>
      <c r="D141" s="463" t="s">
        <v>1103</v>
      </c>
      <c r="E141" s="422">
        <f>'Тарифные ставки'!$B$5</f>
        <v>137.4825</v>
      </c>
      <c r="F141" s="422">
        <v>0.65</v>
      </c>
      <c r="G141" s="401">
        <f t="shared" si="8"/>
        <v>89.363625</v>
      </c>
      <c r="H141" s="424">
        <f>G141*'Тарифные ставки'!$B$13</f>
        <v>230.5581525</v>
      </c>
      <c r="I141" s="424">
        <f>H141*'Тарифные ставки'!$B$14*'Тарифные ставки'!$B$15</f>
        <v>279.43648083</v>
      </c>
      <c r="J141" s="401">
        <f>I141-I141/'Тарифные ставки'!$B$15</f>
        <v>46.57274680499998</v>
      </c>
      <c r="K141" s="401">
        <v>233.759097</v>
      </c>
      <c r="L141" s="424">
        <f t="shared" si="9"/>
        <v>19.540366307113175</v>
      </c>
      <c r="S141" s="361">
        <f t="shared" si="10"/>
        <v>0</v>
      </c>
    </row>
    <row r="142" spans="1:19" ht="15.75">
      <c r="A142" s="136" t="s">
        <v>1232</v>
      </c>
      <c r="B142" s="124" t="s">
        <v>2482</v>
      </c>
      <c r="C142" s="93" t="s">
        <v>1518</v>
      </c>
      <c r="D142" s="463" t="s">
        <v>1103</v>
      </c>
      <c r="E142" s="422">
        <f>'Тарифные ставки'!$B$5</f>
        <v>137.4825</v>
      </c>
      <c r="F142" s="422">
        <v>0.7</v>
      </c>
      <c r="G142" s="401">
        <f aca="true" t="shared" si="11" ref="G142:G147">E142*F142</f>
        <v>96.23774999999999</v>
      </c>
      <c r="H142" s="424">
        <f>G142*'Тарифные ставки'!$B$13</f>
        <v>248.29339499999998</v>
      </c>
      <c r="I142" s="424">
        <f>H142*'Тарифные ставки'!$B$14*'Тарифные ставки'!$B$15</f>
        <v>300.9315947399999</v>
      </c>
      <c r="J142" s="401">
        <f>I142-I142/'Тарифные ставки'!$B$15</f>
        <v>50.15526578999999</v>
      </c>
      <c r="K142" s="401">
        <v>251.740566</v>
      </c>
      <c r="L142" s="424">
        <f t="shared" si="9"/>
        <v>19.540366307113132</v>
      </c>
      <c r="S142" s="361">
        <f t="shared" si="10"/>
        <v>0</v>
      </c>
    </row>
    <row r="143" spans="1:19" ht="15.75">
      <c r="A143" s="136" t="s">
        <v>1233</v>
      </c>
      <c r="B143" s="124" t="s">
        <v>1519</v>
      </c>
      <c r="C143" s="93" t="s">
        <v>1518</v>
      </c>
      <c r="D143" s="463" t="s">
        <v>1103</v>
      </c>
      <c r="E143" s="422">
        <f>'Тарифные ставки'!$B$5</f>
        <v>137.4825</v>
      </c>
      <c r="F143" s="422">
        <v>0.35</v>
      </c>
      <c r="G143" s="401">
        <f t="shared" si="11"/>
        <v>48.118874999999996</v>
      </c>
      <c r="H143" s="424">
        <f>G143*'Тарифные ставки'!$B$13</f>
        <v>124.14669749999999</v>
      </c>
      <c r="I143" s="424">
        <f>H143*'Тарифные ставки'!$B$14*'Тарифные ставки'!$B$15</f>
        <v>150.46579736999996</v>
      </c>
      <c r="J143" s="401">
        <f>I143-I143/'Тарифные ставки'!$B$15</f>
        <v>25.077632894999994</v>
      </c>
      <c r="K143" s="401">
        <v>125.870283</v>
      </c>
      <c r="L143" s="424">
        <f t="shared" si="9"/>
        <v>19.540366307113132</v>
      </c>
      <c r="S143" s="361">
        <f t="shared" si="10"/>
        <v>0</v>
      </c>
    </row>
    <row r="144" spans="1:19" ht="15.75">
      <c r="A144" s="136" t="s">
        <v>1234</v>
      </c>
      <c r="B144" s="124" t="s">
        <v>1520</v>
      </c>
      <c r="C144" s="93" t="s">
        <v>1518</v>
      </c>
      <c r="D144" s="463" t="s">
        <v>1103</v>
      </c>
      <c r="E144" s="422">
        <f>'Тарифные ставки'!$B$5</f>
        <v>137.4825</v>
      </c>
      <c r="F144" s="422">
        <v>0.35</v>
      </c>
      <c r="G144" s="401">
        <f t="shared" si="11"/>
        <v>48.118874999999996</v>
      </c>
      <c r="H144" s="424">
        <f>G144*'Тарифные ставки'!$B$13</f>
        <v>124.14669749999999</v>
      </c>
      <c r="I144" s="424">
        <f>H144*'Тарифные ставки'!$B$14*'Тарифные ставки'!$B$15</f>
        <v>150.46579736999996</v>
      </c>
      <c r="J144" s="401">
        <f>I144-I144/'Тарифные ставки'!$B$15</f>
        <v>25.077632894999994</v>
      </c>
      <c r="K144" s="401">
        <v>125.870283</v>
      </c>
      <c r="L144" s="424">
        <f t="shared" si="9"/>
        <v>19.540366307113132</v>
      </c>
      <c r="S144" s="361">
        <f t="shared" si="10"/>
        <v>0</v>
      </c>
    </row>
    <row r="145" spans="1:19" ht="15.75">
      <c r="A145" s="136" t="s">
        <v>1236</v>
      </c>
      <c r="B145" s="124" t="s">
        <v>1521</v>
      </c>
      <c r="C145" s="93" t="s">
        <v>1134</v>
      </c>
      <c r="D145" s="463" t="s">
        <v>1103</v>
      </c>
      <c r="E145" s="422">
        <f>'Тарифные ставки'!$B$5</f>
        <v>137.4825</v>
      </c>
      <c r="F145" s="422">
        <v>2</v>
      </c>
      <c r="G145" s="401">
        <f t="shared" si="11"/>
        <v>274.965</v>
      </c>
      <c r="H145" s="424">
        <f>G145*'Тарифные ставки'!$B$13</f>
        <v>709.4096999999999</v>
      </c>
      <c r="I145" s="424">
        <f>H145*'Тарифные ставки'!$B$14*'Тарифные ставки'!$B$15</f>
        <v>859.8045563999999</v>
      </c>
      <c r="J145" s="401">
        <f>I145-I145/'Тарифные ставки'!$B$15</f>
        <v>143.30075939999995</v>
      </c>
      <c r="K145" s="401">
        <v>719.25876</v>
      </c>
      <c r="L145" s="424">
        <f t="shared" si="9"/>
        <v>19.54036630711316</v>
      </c>
      <c r="S145" s="361">
        <f t="shared" si="10"/>
        <v>0</v>
      </c>
    </row>
    <row r="146" spans="1:19" ht="15.75">
      <c r="A146" s="136" t="s">
        <v>1237</v>
      </c>
      <c r="B146" s="124" t="s">
        <v>1522</v>
      </c>
      <c r="C146" s="93" t="s">
        <v>1134</v>
      </c>
      <c r="D146" s="463" t="s">
        <v>1103</v>
      </c>
      <c r="E146" s="422">
        <f>'Тарифные ставки'!$B$5</f>
        <v>137.4825</v>
      </c>
      <c r="F146" s="422">
        <v>1</v>
      </c>
      <c r="G146" s="401">
        <f t="shared" si="11"/>
        <v>137.4825</v>
      </c>
      <c r="H146" s="424">
        <f>G146*'Тарифные ставки'!$B$13</f>
        <v>354.70484999999996</v>
      </c>
      <c r="I146" s="424">
        <f>H146*'Тарифные ставки'!$B$14*'Тарифные ставки'!$B$15</f>
        <v>429.90227819999996</v>
      </c>
      <c r="J146" s="401">
        <f>I146-I146/'Тарифные ставки'!$B$15</f>
        <v>71.65037969999997</v>
      </c>
      <c r="K146" s="401">
        <v>359.62938</v>
      </c>
      <c r="L146" s="424">
        <f t="shared" si="9"/>
        <v>19.54036630711316</v>
      </c>
      <c r="S146" s="361">
        <f t="shared" si="10"/>
        <v>0</v>
      </c>
    </row>
    <row r="147" spans="1:19" ht="15.75">
      <c r="A147" s="136" t="s">
        <v>1514</v>
      </c>
      <c r="B147" s="124" t="s">
        <v>1523</v>
      </c>
      <c r="C147" s="93" t="s">
        <v>1134</v>
      </c>
      <c r="D147" s="463" t="s">
        <v>1103</v>
      </c>
      <c r="E147" s="422">
        <f>'Тарифные ставки'!$B$5</f>
        <v>137.4825</v>
      </c>
      <c r="F147" s="422">
        <v>1</v>
      </c>
      <c r="G147" s="401">
        <f t="shared" si="11"/>
        <v>137.4825</v>
      </c>
      <c r="H147" s="424">
        <f>G147*'Тарифные ставки'!$B$13</f>
        <v>354.70484999999996</v>
      </c>
      <c r="I147" s="424">
        <f>H147*'Тарифные ставки'!$B$14*'Тарифные ставки'!$B$15</f>
        <v>429.90227819999996</v>
      </c>
      <c r="J147" s="401">
        <f>I147-I147/'Тарифные ставки'!$B$15</f>
        <v>71.65037969999997</v>
      </c>
      <c r="K147" s="401">
        <v>359.62938</v>
      </c>
      <c r="L147" s="424">
        <f t="shared" si="9"/>
        <v>19.54036630711316</v>
      </c>
      <c r="S147" s="361">
        <f t="shared" si="10"/>
        <v>0</v>
      </c>
    </row>
    <row r="148" spans="1:19" ht="15.75">
      <c r="A148" s="136" t="s">
        <v>2240</v>
      </c>
      <c r="B148" s="124" t="s">
        <v>2241</v>
      </c>
      <c r="C148" s="93" t="s">
        <v>1134</v>
      </c>
      <c r="D148" s="463" t="s">
        <v>1103</v>
      </c>
      <c r="E148" s="422">
        <f>'Тарифные ставки'!$B$5</f>
        <v>137.4825</v>
      </c>
      <c r="F148" s="422">
        <v>0.25</v>
      </c>
      <c r="G148" s="401">
        <f t="shared" si="8"/>
        <v>34.370625</v>
      </c>
      <c r="H148" s="424">
        <f>G148*'Тарифные ставки'!$B$13</f>
        <v>88.67621249999999</v>
      </c>
      <c r="I148" s="424">
        <f>H148*'Тарифные ставки'!$B$14*'Тарифные ставки'!$B$15</f>
        <v>107.47556954999999</v>
      </c>
      <c r="J148" s="401">
        <f>I148-I148/'Тарифные ставки'!$B$15</f>
        <v>17.912594924999993</v>
      </c>
      <c r="K148" s="401">
        <v>89.907345</v>
      </c>
      <c r="L148" s="424">
        <f t="shared" si="9"/>
        <v>19.54036630711316</v>
      </c>
      <c r="S148" s="361">
        <f t="shared" si="10"/>
        <v>0</v>
      </c>
    </row>
    <row r="149" spans="1:19" ht="15.75">
      <c r="A149" s="136" t="s">
        <v>2242</v>
      </c>
      <c r="B149" s="124" t="s">
        <v>2243</v>
      </c>
      <c r="C149" s="93" t="s">
        <v>1134</v>
      </c>
      <c r="D149" s="463" t="s">
        <v>1103</v>
      </c>
      <c r="E149" s="422">
        <f>'Тарифные ставки'!$B$5</f>
        <v>137.4825</v>
      </c>
      <c r="F149" s="422">
        <v>0.13</v>
      </c>
      <c r="G149" s="401">
        <f t="shared" si="8"/>
        <v>17.872725</v>
      </c>
      <c r="H149" s="424">
        <f>G149*'Тарифные ставки'!$B$13</f>
        <v>46.1116305</v>
      </c>
      <c r="I149" s="424">
        <f>H149*'Тарифные ставки'!$B$14*'Тарифные ставки'!$B$15</f>
        <v>55.88729616599999</v>
      </c>
      <c r="J149" s="401">
        <f>I149-I149/'Тарифные ставки'!$B$15</f>
        <v>9.314549360999997</v>
      </c>
      <c r="K149" s="401">
        <v>46.7518194</v>
      </c>
      <c r="L149" s="424">
        <f t="shared" si="9"/>
        <v>19.54036630711316</v>
      </c>
      <c r="S149" s="361">
        <f t="shared" si="10"/>
        <v>0</v>
      </c>
    </row>
    <row r="150" spans="1:19" ht="15.75">
      <c r="A150" s="136" t="s">
        <v>1531</v>
      </c>
      <c r="B150" s="124" t="s">
        <v>1532</v>
      </c>
      <c r="C150" s="93" t="s">
        <v>1134</v>
      </c>
      <c r="D150" s="463" t="s">
        <v>1103</v>
      </c>
      <c r="E150" s="422">
        <f>'Тарифные ставки'!$B$5</f>
        <v>137.4825</v>
      </c>
      <c r="F150" s="422">
        <v>0.13</v>
      </c>
      <c r="G150" s="401">
        <f t="shared" si="8"/>
        <v>17.872725</v>
      </c>
      <c r="H150" s="424">
        <f>G150*'Тарифные ставки'!$B$13</f>
        <v>46.1116305</v>
      </c>
      <c r="I150" s="424">
        <f>H150*'Тарифные ставки'!$B$14*'Тарифные ставки'!$B$15</f>
        <v>55.88729616599999</v>
      </c>
      <c r="J150" s="401">
        <f>I150-I150/'Тарифные ставки'!$B$15</f>
        <v>9.314549360999997</v>
      </c>
      <c r="K150" s="401">
        <v>46.7518194</v>
      </c>
      <c r="L150" s="424">
        <f t="shared" si="9"/>
        <v>19.54036630711316</v>
      </c>
      <c r="S150" s="361">
        <f t="shared" si="10"/>
        <v>0</v>
      </c>
    </row>
    <row r="151" spans="1:19" ht="15.75">
      <c r="A151" s="136" t="s">
        <v>1719</v>
      </c>
      <c r="B151" s="124" t="s">
        <v>1525</v>
      </c>
      <c r="C151" s="93" t="s">
        <v>1235</v>
      </c>
      <c r="D151" s="463" t="s">
        <v>1103</v>
      </c>
      <c r="E151" s="422">
        <f>'Тарифные ставки'!$B$5</f>
        <v>137.4825</v>
      </c>
      <c r="F151" s="422">
        <v>1.2</v>
      </c>
      <c r="G151" s="401">
        <f>E151*F151</f>
        <v>164.97899999999998</v>
      </c>
      <c r="H151" s="424">
        <f>G151*'Тарифные ставки'!$B$13</f>
        <v>425.64581999999996</v>
      </c>
      <c r="I151" s="424">
        <f>H151*'Тарифные ставки'!$B$14*'Тарифные ставки'!$B$15</f>
        <v>515.8827338399999</v>
      </c>
      <c r="J151" s="401">
        <f>I151-I151/'Тарифные ставки'!$B$15</f>
        <v>85.98045563999995</v>
      </c>
      <c r="K151" s="401">
        <v>431.5552560000001</v>
      </c>
      <c r="L151" s="424">
        <f t="shared" si="9"/>
        <v>19.540366307113132</v>
      </c>
      <c r="S151" s="361">
        <f t="shared" si="10"/>
        <v>0</v>
      </c>
    </row>
    <row r="152" spans="1:19" ht="15.75">
      <c r="A152" s="136" t="s">
        <v>1720</v>
      </c>
      <c r="B152" s="124" t="s">
        <v>1526</v>
      </c>
      <c r="C152" s="93" t="s">
        <v>1235</v>
      </c>
      <c r="D152" s="463" t="s">
        <v>1103</v>
      </c>
      <c r="E152" s="422">
        <f>'Тарифные ставки'!$B$5</f>
        <v>137.4825</v>
      </c>
      <c r="F152" s="422">
        <v>0.5</v>
      </c>
      <c r="G152" s="401">
        <f>E152*F152</f>
        <v>68.74125</v>
      </c>
      <c r="H152" s="424">
        <f>G152*'Тарифные ставки'!$B$13</f>
        <v>177.35242499999998</v>
      </c>
      <c r="I152" s="424">
        <f>H152*'Тарифные ставки'!$B$14*'Тарифные ставки'!$B$15</f>
        <v>214.95113909999998</v>
      </c>
      <c r="J152" s="401">
        <f>I152-I152/'Тарифные ставки'!$B$15</f>
        <v>35.82518984999999</v>
      </c>
      <c r="K152" s="401">
        <v>179.81469</v>
      </c>
      <c r="L152" s="424">
        <f t="shared" si="9"/>
        <v>19.54036630711316</v>
      </c>
      <c r="S152" s="361">
        <f t="shared" si="10"/>
        <v>0</v>
      </c>
    </row>
    <row r="153" spans="1:19" ht="15.75">
      <c r="A153" s="136" t="s">
        <v>1721</v>
      </c>
      <c r="B153" s="124" t="s">
        <v>1527</v>
      </c>
      <c r="C153" s="93" t="s">
        <v>1235</v>
      </c>
      <c r="D153" s="463" t="s">
        <v>1103</v>
      </c>
      <c r="E153" s="422">
        <f>'Тарифные ставки'!$B$5</f>
        <v>137.4825</v>
      </c>
      <c r="F153" s="422">
        <v>0.7</v>
      </c>
      <c r="G153" s="401">
        <f>E153*F153</f>
        <v>96.23774999999999</v>
      </c>
      <c r="H153" s="424">
        <f>G153*'Тарифные ставки'!$B$13</f>
        <v>248.29339499999998</v>
      </c>
      <c r="I153" s="424">
        <f>H153*'Тарифные ставки'!$B$14*'Тарифные ставки'!$B$15</f>
        <v>300.9315947399999</v>
      </c>
      <c r="J153" s="401">
        <f>I153-I153/'Тарифные ставки'!$B$15</f>
        <v>50.15526578999999</v>
      </c>
      <c r="K153" s="401">
        <v>251.740566</v>
      </c>
      <c r="L153" s="424">
        <f t="shared" si="9"/>
        <v>19.540366307113132</v>
      </c>
      <c r="S153" s="361">
        <f t="shared" si="10"/>
        <v>0</v>
      </c>
    </row>
    <row r="154" spans="1:19" ht="15.75">
      <c r="A154" s="136" t="s">
        <v>1533</v>
      </c>
      <c r="B154" s="124" t="s">
        <v>1534</v>
      </c>
      <c r="C154" s="93" t="s">
        <v>1235</v>
      </c>
      <c r="D154" s="463" t="s">
        <v>1103</v>
      </c>
      <c r="E154" s="422">
        <f>'Тарифные ставки'!$B$5</f>
        <v>137.4825</v>
      </c>
      <c r="F154" s="422">
        <v>1</v>
      </c>
      <c r="G154" s="401">
        <f t="shared" si="8"/>
        <v>137.4825</v>
      </c>
      <c r="H154" s="424">
        <f>G154*'Тарифные ставки'!$B$13</f>
        <v>354.70484999999996</v>
      </c>
      <c r="I154" s="424">
        <f>H154*'Тарифные ставки'!$B$14*'Тарифные ставки'!$B$15</f>
        <v>429.90227819999996</v>
      </c>
      <c r="J154" s="401">
        <f>I154-I154/'Тарифные ставки'!$B$15</f>
        <v>71.65037969999997</v>
      </c>
      <c r="K154" s="401">
        <v>359.62938</v>
      </c>
      <c r="L154" s="424">
        <f t="shared" si="9"/>
        <v>19.54036630711316</v>
      </c>
      <c r="S154" s="361">
        <f t="shared" si="10"/>
        <v>0</v>
      </c>
    </row>
    <row r="155" spans="1:19" ht="15.75">
      <c r="A155" s="136" t="s">
        <v>1535</v>
      </c>
      <c r="B155" s="124" t="s">
        <v>1536</v>
      </c>
      <c r="C155" s="93" t="s">
        <v>1235</v>
      </c>
      <c r="D155" s="463" t="s">
        <v>1103</v>
      </c>
      <c r="E155" s="422">
        <f>'Тарифные ставки'!$B$5</f>
        <v>137.4825</v>
      </c>
      <c r="F155" s="422">
        <v>0.4</v>
      </c>
      <c r="G155" s="401">
        <f t="shared" si="8"/>
        <v>54.992999999999995</v>
      </c>
      <c r="H155" s="424">
        <f>G155*'Тарифные ставки'!$B$13</f>
        <v>141.88194</v>
      </c>
      <c r="I155" s="424">
        <f>H155*'Тарифные ставки'!$B$14*'Тарифные ставки'!$B$15</f>
        <v>171.96091127999998</v>
      </c>
      <c r="J155" s="401">
        <f>I155-I155/'Тарифные ставки'!$B$15</f>
        <v>28.66015188</v>
      </c>
      <c r="K155" s="401">
        <v>143.85175200000003</v>
      </c>
      <c r="L155" s="424">
        <f t="shared" si="9"/>
        <v>19.540366307113132</v>
      </c>
      <c r="S155" s="361">
        <f t="shared" si="10"/>
        <v>0</v>
      </c>
    </row>
    <row r="156" spans="1:19" ht="15.75">
      <c r="A156" s="136" t="s">
        <v>1537</v>
      </c>
      <c r="B156" s="124" t="s">
        <v>1538</v>
      </c>
      <c r="C156" s="93" t="s">
        <v>1235</v>
      </c>
      <c r="D156" s="463" t="s">
        <v>1103</v>
      </c>
      <c r="E156" s="422">
        <f>'Тарифные ставки'!$B$5</f>
        <v>137.4825</v>
      </c>
      <c r="F156" s="422">
        <v>0.6</v>
      </c>
      <c r="G156" s="401">
        <f t="shared" si="8"/>
        <v>82.48949999999999</v>
      </c>
      <c r="H156" s="424">
        <f>G156*'Тарифные ставки'!$B$13</f>
        <v>212.82290999999998</v>
      </c>
      <c r="I156" s="424">
        <f>H156*'Тарифные ставки'!$B$14*'Тарифные ставки'!$B$15</f>
        <v>257.94136691999995</v>
      </c>
      <c r="J156" s="401">
        <f>I156-I156/'Тарифные ставки'!$B$15</f>
        <v>42.99022781999997</v>
      </c>
      <c r="K156" s="401">
        <v>215.77762800000005</v>
      </c>
      <c r="L156" s="424">
        <f t="shared" si="9"/>
        <v>19.540366307113132</v>
      </c>
      <c r="S156" s="361">
        <f t="shared" si="10"/>
        <v>0</v>
      </c>
    </row>
    <row r="157" spans="1:19" ht="63">
      <c r="A157" s="459" t="s">
        <v>83</v>
      </c>
      <c r="B157" s="371" t="s">
        <v>82</v>
      </c>
      <c r="C157" s="371" t="s">
        <v>77</v>
      </c>
      <c r="D157" s="371" t="s">
        <v>81</v>
      </c>
      <c r="E157" s="388" t="s">
        <v>85</v>
      </c>
      <c r="F157" s="477" t="s">
        <v>78</v>
      </c>
      <c r="G157" s="477" t="s">
        <v>79</v>
      </c>
      <c r="H157" s="477" t="s">
        <v>80</v>
      </c>
      <c r="I157" s="382" t="s">
        <v>843</v>
      </c>
      <c r="J157" s="382" t="s">
        <v>2349</v>
      </c>
      <c r="K157" s="535"/>
      <c r="L157" s="538"/>
      <c r="S157" s="361"/>
    </row>
    <row r="158" spans="1:19" ht="15.75">
      <c r="A158" s="136" t="s">
        <v>1539</v>
      </c>
      <c r="B158" s="124" t="s">
        <v>1540</v>
      </c>
      <c r="C158" s="93" t="s">
        <v>1125</v>
      </c>
      <c r="D158" s="463" t="s">
        <v>1103</v>
      </c>
      <c r="E158" s="422">
        <f>'Тарифные ставки'!$B$5</f>
        <v>137.4825</v>
      </c>
      <c r="F158" s="422">
        <v>0.54</v>
      </c>
      <c r="G158" s="401">
        <f t="shared" si="8"/>
        <v>74.24055</v>
      </c>
      <c r="H158" s="424">
        <f>G158*'Тарифные ставки'!$B$13</f>
        <v>191.540619</v>
      </c>
      <c r="I158" s="424">
        <f>H158*'Тарифные ставки'!$B$14*'Тарифные ставки'!$B$15</f>
        <v>232.14723022799998</v>
      </c>
      <c r="J158" s="401">
        <f>I158-I158/'Тарифные ставки'!$B$15</f>
        <v>38.69120503799999</v>
      </c>
      <c r="K158" s="401">
        <v>194.19986520000003</v>
      </c>
      <c r="L158" s="424">
        <f t="shared" si="9"/>
        <v>19.54036630711316</v>
      </c>
      <c r="S158" s="361">
        <f t="shared" si="10"/>
        <v>0</v>
      </c>
    </row>
    <row r="159" spans="1:19" ht="15.75">
      <c r="A159" s="136" t="s">
        <v>1541</v>
      </c>
      <c r="B159" s="124" t="s">
        <v>1542</v>
      </c>
      <c r="C159" s="93" t="s">
        <v>186</v>
      </c>
      <c r="D159" s="463" t="s">
        <v>1103</v>
      </c>
      <c r="E159" s="422">
        <f>'Тарифные ставки'!$B$5</f>
        <v>137.4825</v>
      </c>
      <c r="F159" s="422">
        <v>0.5</v>
      </c>
      <c r="G159" s="401">
        <f t="shared" si="8"/>
        <v>68.74125</v>
      </c>
      <c r="H159" s="424">
        <f>G159*'Тарифные ставки'!$B$13</f>
        <v>177.35242499999998</v>
      </c>
      <c r="I159" s="424">
        <f>H159*'Тарифные ставки'!$B$14*'Тарифные ставки'!$B$15</f>
        <v>214.95113909999998</v>
      </c>
      <c r="J159" s="401">
        <f>I159-I159/'Тарифные ставки'!$B$15</f>
        <v>35.82518984999999</v>
      </c>
      <c r="K159" s="401">
        <v>179.81469</v>
      </c>
      <c r="L159" s="424">
        <f t="shared" si="9"/>
        <v>19.54036630711316</v>
      </c>
      <c r="S159" s="361">
        <f t="shared" si="10"/>
        <v>0</v>
      </c>
    </row>
    <row r="160" spans="1:19" ht="15.75">
      <c r="A160" s="136" t="s">
        <v>1543</v>
      </c>
      <c r="B160" s="124" t="s">
        <v>1544</v>
      </c>
      <c r="C160" s="93" t="s">
        <v>186</v>
      </c>
      <c r="D160" s="463" t="s">
        <v>1103</v>
      </c>
      <c r="E160" s="422">
        <f>'Тарифные ставки'!$B$5</f>
        <v>137.4825</v>
      </c>
      <c r="F160" s="422">
        <v>0.67</v>
      </c>
      <c r="G160" s="401">
        <f t="shared" si="8"/>
        <v>92.113275</v>
      </c>
      <c r="H160" s="424">
        <f>G160*'Тарифные ставки'!$B$13</f>
        <v>237.6522495</v>
      </c>
      <c r="I160" s="424">
        <f>H160*'Тарифные ставки'!$B$14*'Тарифные ставки'!$B$15</f>
        <v>288.034526394</v>
      </c>
      <c r="J160" s="401">
        <f>I160-I160/'Тарифные ставки'!$B$15</f>
        <v>48.00575439899998</v>
      </c>
      <c r="K160" s="401">
        <v>240.95168460000002</v>
      </c>
      <c r="L160" s="424">
        <f t="shared" si="9"/>
        <v>19.540366307113175</v>
      </c>
      <c r="S160" s="361">
        <f t="shared" si="10"/>
        <v>0</v>
      </c>
    </row>
    <row r="161" spans="1:19" ht="15.75">
      <c r="A161" s="136" t="s">
        <v>669</v>
      </c>
      <c r="B161" s="124" t="s">
        <v>1528</v>
      </c>
      <c r="C161" s="93" t="s">
        <v>186</v>
      </c>
      <c r="D161" s="463" t="s">
        <v>1103</v>
      </c>
      <c r="E161" s="422">
        <f>'Тарифные ставки'!$B$5</f>
        <v>137.4825</v>
      </c>
      <c r="F161" s="422">
        <v>0.5</v>
      </c>
      <c r="G161" s="401">
        <f t="shared" si="8"/>
        <v>68.74125</v>
      </c>
      <c r="H161" s="424">
        <f>G161*'Тарифные ставки'!$B$13</f>
        <v>177.35242499999998</v>
      </c>
      <c r="I161" s="424">
        <f>H161*'Тарифные ставки'!$B$14*'Тарифные ставки'!$B$15</f>
        <v>214.95113909999998</v>
      </c>
      <c r="J161" s="401">
        <f>I161-I161/'Тарифные ставки'!$B$15</f>
        <v>35.82518984999999</v>
      </c>
      <c r="K161" s="401">
        <v>179.81469</v>
      </c>
      <c r="L161" s="424">
        <f t="shared" si="9"/>
        <v>19.54036630711316</v>
      </c>
      <c r="S161" s="361">
        <f t="shared" si="10"/>
        <v>0</v>
      </c>
    </row>
    <row r="162" spans="1:19" ht="15.75">
      <c r="A162" s="136" t="s">
        <v>1545</v>
      </c>
      <c r="B162" s="124" t="s">
        <v>1546</v>
      </c>
      <c r="C162" s="93" t="s">
        <v>186</v>
      </c>
      <c r="D162" s="463" t="s">
        <v>1103</v>
      </c>
      <c r="E162" s="422">
        <f>'Тарифные ставки'!$B$5</f>
        <v>137.4825</v>
      </c>
      <c r="F162" s="422">
        <v>0.24</v>
      </c>
      <c r="G162" s="401">
        <f t="shared" si="8"/>
        <v>32.995799999999996</v>
      </c>
      <c r="H162" s="424">
        <f>G162*'Тарифные ставки'!$B$13</f>
        <v>85.12916399999999</v>
      </c>
      <c r="I162" s="424">
        <f>H162*'Тарифные ставки'!$B$14*'Тарифные ставки'!$B$15</f>
        <v>103.17654676799998</v>
      </c>
      <c r="J162" s="401">
        <f>I162-I162/'Тарифные ставки'!$B$15</f>
        <v>17.196091127999992</v>
      </c>
      <c r="K162" s="401">
        <v>86.31105120000002</v>
      </c>
      <c r="L162" s="424">
        <f t="shared" si="9"/>
        <v>19.540366307113118</v>
      </c>
      <c r="S162" s="361">
        <f t="shared" si="10"/>
        <v>0</v>
      </c>
    </row>
    <row r="163" spans="1:19" ht="15.75">
      <c r="A163" s="136" t="s">
        <v>1547</v>
      </c>
      <c r="B163" s="124" t="s">
        <v>2204</v>
      </c>
      <c r="C163" s="93" t="s">
        <v>806</v>
      </c>
      <c r="D163" s="463" t="s">
        <v>1103</v>
      </c>
      <c r="E163" s="422">
        <f>'Тарифные ставки'!$B$5</f>
        <v>137.4825</v>
      </c>
      <c r="F163" s="422">
        <v>0.51</v>
      </c>
      <c r="G163" s="401">
        <f t="shared" si="8"/>
        <v>70.116075</v>
      </c>
      <c r="H163" s="424">
        <f>G163*'Тарифные ставки'!$B$13</f>
        <v>180.8994735</v>
      </c>
      <c r="I163" s="424">
        <f>H163*'Тарифные ставки'!$B$14*'Тарифные ставки'!$B$15</f>
        <v>219.250161882</v>
      </c>
      <c r="J163" s="401">
        <f>I163-I163/'Тарифные ставки'!$B$15</f>
        <v>36.54169364699999</v>
      </c>
      <c r="K163" s="401">
        <v>183.41098380000003</v>
      </c>
      <c r="L163" s="424">
        <f t="shared" si="9"/>
        <v>19.54036630711316</v>
      </c>
      <c r="S163" s="361">
        <f t="shared" si="10"/>
        <v>0</v>
      </c>
    </row>
    <row r="164" spans="1:19" ht="15.75">
      <c r="A164" s="136" t="s">
        <v>2205</v>
      </c>
      <c r="B164" s="124" t="s">
        <v>2206</v>
      </c>
      <c r="C164" s="93" t="s">
        <v>1718</v>
      </c>
      <c r="D164" s="463" t="s">
        <v>1103</v>
      </c>
      <c r="E164" s="422">
        <f>'Тарифные ставки'!$B$5</f>
        <v>137.4825</v>
      </c>
      <c r="F164" s="422">
        <v>0.33</v>
      </c>
      <c r="G164" s="401">
        <f t="shared" si="8"/>
        <v>45.369225</v>
      </c>
      <c r="H164" s="424">
        <f>G164*'Тарифные ставки'!$B$13</f>
        <v>117.0526005</v>
      </c>
      <c r="I164" s="424">
        <f>H164*'Тарифные ставки'!$B$14*'Тарифные ставки'!$B$15</f>
        <v>141.867751806</v>
      </c>
      <c r="J164" s="401">
        <f>I164-I164/'Тарифные ставки'!$B$15</f>
        <v>23.64462530099999</v>
      </c>
      <c r="K164" s="401">
        <v>118.6776954</v>
      </c>
      <c r="L164" s="424">
        <f t="shared" si="9"/>
        <v>19.540366307113175</v>
      </c>
      <c r="S164" s="361">
        <f t="shared" si="10"/>
        <v>0</v>
      </c>
    </row>
    <row r="165" spans="1:19" ht="15.75">
      <c r="A165" s="136" t="s">
        <v>2207</v>
      </c>
      <c r="B165" s="124" t="s">
        <v>2208</v>
      </c>
      <c r="C165" s="93" t="s">
        <v>725</v>
      </c>
      <c r="D165" s="463" t="s">
        <v>1103</v>
      </c>
      <c r="E165" s="422">
        <f>'Тарифные ставки'!$B$5</f>
        <v>137.4825</v>
      </c>
      <c r="F165" s="422">
        <v>0.5</v>
      </c>
      <c r="G165" s="401">
        <f t="shared" si="8"/>
        <v>68.74125</v>
      </c>
      <c r="H165" s="424">
        <f>G165*'Тарифные ставки'!$B$13</f>
        <v>177.35242499999998</v>
      </c>
      <c r="I165" s="424">
        <f>H165*'Тарифные ставки'!$B$14*'Тарифные ставки'!$B$15</f>
        <v>214.95113909999998</v>
      </c>
      <c r="J165" s="401">
        <f>I165-I165/'Тарифные ставки'!$B$15</f>
        <v>35.82518984999999</v>
      </c>
      <c r="K165" s="401">
        <v>179.81469</v>
      </c>
      <c r="L165" s="424">
        <f t="shared" si="9"/>
        <v>19.54036630711316</v>
      </c>
      <c r="S165" s="361">
        <f t="shared" si="10"/>
        <v>0</v>
      </c>
    </row>
    <row r="166" spans="1:19" ht="15.75">
      <c r="A166" s="136" t="s">
        <v>2209</v>
      </c>
      <c r="B166" s="124" t="s">
        <v>2210</v>
      </c>
      <c r="C166" s="93" t="s">
        <v>725</v>
      </c>
      <c r="D166" s="463" t="s">
        <v>1103</v>
      </c>
      <c r="E166" s="422">
        <f>'Тарифные ставки'!$B$5</f>
        <v>137.4825</v>
      </c>
      <c r="F166" s="422">
        <v>0.33</v>
      </c>
      <c r="G166" s="401">
        <f t="shared" si="8"/>
        <v>45.369225</v>
      </c>
      <c r="H166" s="424">
        <f>G166*'Тарифные ставки'!$B$13</f>
        <v>117.0526005</v>
      </c>
      <c r="I166" s="424">
        <f>H166*'Тарифные ставки'!$B$14*'Тарифные ставки'!$B$15</f>
        <v>141.867751806</v>
      </c>
      <c r="J166" s="401">
        <f>I166-I166/'Тарифные ставки'!$B$15</f>
        <v>23.64462530099999</v>
      </c>
      <c r="K166" s="401">
        <v>118.6776954</v>
      </c>
      <c r="L166" s="424">
        <f t="shared" si="9"/>
        <v>19.540366307113175</v>
      </c>
      <c r="S166" s="361">
        <f t="shared" si="10"/>
        <v>0</v>
      </c>
    </row>
    <row r="167" spans="1:19" ht="15.75">
      <c r="A167" s="136" t="s">
        <v>2211</v>
      </c>
      <c r="B167" s="124" t="s">
        <v>2212</v>
      </c>
      <c r="C167" s="93" t="s">
        <v>725</v>
      </c>
      <c r="D167" s="463" t="s">
        <v>1103</v>
      </c>
      <c r="E167" s="422">
        <f>'Тарифные ставки'!$B$5</f>
        <v>137.4825</v>
      </c>
      <c r="F167" s="422">
        <v>1</v>
      </c>
      <c r="G167" s="401">
        <f t="shared" si="8"/>
        <v>137.4825</v>
      </c>
      <c r="H167" s="424">
        <f>G167*'Тарифные ставки'!$B$13</f>
        <v>354.70484999999996</v>
      </c>
      <c r="I167" s="424">
        <f>H167*'Тарифные ставки'!$B$14*'Тарифные ставки'!$B$15</f>
        <v>429.90227819999996</v>
      </c>
      <c r="J167" s="401">
        <f>I167-I167/'Тарифные ставки'!$B$15</f>
        <v>71.65037969999997</v>
      </c>
      <c r="K167" s="401">
        <v>359.62938</v>
      </c>
      <c r="L167" s="424">
        <f t="shared" si="9"/>
        <v>19.54036630711316</v>
      </c>
      <c r="S167" s="361">
        <f t="shared" si="10"/>
        <v>0</v>
      </c>
    </row>
    <row r="168" spans="1:19" ht="15.75">
      <c r="A168" s="136" t="s">
        <v>821</v>
      </c>
      <c r="B168" s="124" t="s">
        <v>822</v>
      </c>
      <c r="C168" s="93" t="s">
        <v>1722</v>
      </c>
      <c r="D168" s="463" t="s">
        <v>1103</v>
      </c>
      <c r="E168" s="422">
        <f>'Тарифные ставки'!$B$5</f>
        <v>137.4825</v>
      </c>
      <c r="F168" s="422">
        <v>0.25</v>
      </c>
      <c r="G168" s="401">
        <f t="shared" si="8"/>
        <v>34.370625</v>
      </c>
      <c r="H168" s="424">
        <f>G168*'Тарифные ставки'!$B$13</f>
        <v>88.67621249999999</v>
      </c>
      <c r="I168" s="424">
        <f>H168*'Тарифные ставки'!$B$14*'Тарифные ставки'!$B$15</f>
        <v>107.47556954999999</v>
      </c>
      <c r="J168" s="401">
        <f>I168-I168/'Тарифные ставки'!$B$15</f>
        <v>17.912594924999993</v>
      </c>
      <c r="K168" s="401">
        <v>89.907345</v>
      </c>
      <c r="L168" s="424">
        <f t="shared" si="9"/>
        <v>19.54036630711316</v>
      </c>
      <c r="S168" s="361">
        <f t="shared" si="10"/>
        <v>0</v>
      </c>
    </row>
    <row r="169" spans="1:19" ht="15.75">
      <c r="A169" s="136" t="s">
        <v>823</v>
      </c>
      <c r="B169" s="124" t="s">
        <v>666</v>
      </c>
      <c r="C169" s="93" t="s">
        <v>667</v>
      </c>
      <c r="D169" s="463" t="s">
        <v>1103</v>
      </c>
      <c r="E169" s="422">
        <f>'Тарифные ставки'!$B$5</f>
        <v>137.4825</v>
      </c>
      <c r="F169" s="422">
        <v>0.1</v>
      </c>
      <c r="G169" s="401">
        <f t="shared" si="8"/>
        <v>13.748249999999999</v>
      </c>
      <c r="H169" s="424">
        <f>G169*'Тарифные ставки'!$B$13</f>
        <v>35.470485</v>
      </c>
      <c r="I169" s="424">
        <f>H169*'Тарифные ставки'!$B$14*'Тарифные ставки'!$B$15</f>
        <v>42.990227819999994</v>
      </c>
      <c r="J169" s="401">
        <f>I169-I169/'Тарифные ставки'!$B$15</f>
        <v>7.16503797</v>
      </c>
      <c r="K169" s="401">
        <v>35.96293800000001</v>
      </c>
      <c r="L169" s="424">
        <f t="shared" si="9"/>
        <v>19.540366307113132</v>
      </c>
      <c r="S169" s="361">
        <f t="shared" si="10"/>
        <v>0</v>
      </c>
    </row>
    <row r="170" spans="1:19" ht="15.75">
      <c r="A170" s="136" t="s">
        <v>670</v>
      </c>
      <c r="B170" s="124" t="s">
        <v>1530</v>
      </c>
      <c r="C170" s="93" t="s">
        <v>1840</v>
      </c>
      <c r="D170" s="463" t="s">
        <v>1103</v>
      </c>
      <c r="E170" s="422">
        <f>'Тарифные ставки'!$B$5</f>
        <v>137.4825</v>
      </c>
      <c r="F170" s="422">
        <v>0.63</v>
      </c>
      <c r="G170" s="401">
        <f>E170*F170</f>
        <v>86.613975</v>
      </c>
      <c r="H170" s="424">
        <f>G170*'Тарифные ставки'!$B$13</f>
        <v>223.4640555</v>
      </c>
      <c r="I170" s="424">
        <f>H170*'Тарифные ставки'!$B$14*'Тарифные ставки'!$B$15</f>
        <v>270.838435266</v>
      </c>
      <c r="J170" s="401">
        <f>I170-I170/'Тарифные ставки'!$B$15</f>
        <v>45.13973921099998</v>
      </c>
      <c r="K170" s="401">
        <v>226.56650940000006</v>
      </c>
      <c r="L170" s="424">
        <f t="shared" si="9"/>
        <v>19.540366307113132</v>
      </c>
      <c r="S170" s="361">
        <f t="shared" si="10"/>
        <v>0</v>
      </c>
    </row>
    <row r="171" spans="1:19" ht="15.75">
      <c r="A171" s="136" t="s">
        <v>824</v>
      </c>
      <c r="B171" s="124" t="s">
        <v>825</v>
      </c>
      <c r="C171" s="93" t="s">
        <v>1840</v>
      </c>
      <c r="D171" s="463" t="s">
        <v>1103</v>
      </c>
      <c r="E171" s="422">
        <f>'Тарифные ставки'!$B$5</f>
        <v>137.4825</v>
      </c>
      <c r="F171" s="422">
        <v>1</v>
      </c>
      <c r="G171" s="401">
        <f t="shared" si="8"/>
        <v>137.4825</v>
      </c>
      <c r="H171" s="424">
        <f>G171*'Тарифные ставки'!$B$13</f>
        <v>354.70484999999996</v>
      </c>
      <c r="I171" s="424">
        <f>H171*'Тарифные ставки'!$B$14*'Тарифные ставки'!$B$15</f>
        <v>429.90227819999996</v>
      </c>
      <c r="J171" s="401">
        <f>I171-I171/'Тарифные ставки'!$B$15</f>
        <v>71.65037969999997</v>
      </c>
      <c r="K171" s="401">
        <v>359.62938</v>
      </c>
      <c r="L171" s="424">
        <f t="shared" si="9"/>
        <v>19.54036630711316</v>
      </c>
      <c r="S171" s="361">
        <f t="shared" si="10"/>
        <v>0</v>
      </c>
    </row>
    <row r="172" spans="1:19" ht="15.75">
      <c r="A172" s="136" t="s">
        <v>826</v>
      </c>
      <c r="B172" s="124" t="s">
        <v>827</v>
      </c>
      <c r="C172" s="93" t="s">
        <v>1840</v>
      </c>
      <c r="D172" s="463" t="s">
        <v>1103</v>
      </c>
      <c r="E172" s="422">
        <f>'Тарифные ставки'!$B$5</f>
        <v>137.4825</v>
      </c>
      <c r="F172" s="422">
        <v>0.52</v>
      </c>
      <c r="G172" s="401">
        <f t="shared" si="8"/>
        <v>71.4909</v>
      </c>
      <c r="H172" s="424">
        <f>G172*'Тарифные ставки'!$B$13</f>
        <v>184.446522</v>
      </c>
      <c r="I172" s="424">
        <f>H172*'Тарифные ставки'!$B$14*'Тарифные ставки'!$B$15</f>
        <v>223.54918466399997</v>
      </c>
      <c r="J172" s="401">
        <f>I172-I172/'Тарифные ставки'!$B$15</f>
        <v>37.25819744399999</v>
      </c>
      <c r="K172" s="401">
        <v>187.0072776</v>
      </c>
      <c r="L172" s="424">
        <f t="shared" si="9"/>
        <v>19.54036630711316</v>
      </c>
      <c r="S172" s="361">
        <f t="shared" si="10"/>
        <v>0</v>
      </c>
    </row>
    <row r="173" spans="1:19" ht="15.75">
      <c r="A173" s="136" t="s">
        <v>828</v>
      </c>
      <c r="B173" s="124" t="s">
        <v>829</v>
      </c>
      <c r="C173" s="93" t="s">
        <v>1416</v>
      </c>
      <c r="D173" s="463" t="s">
        <v>1103</v>
      </c>
      <c r="E173" s="422">
        <f>'Тарифные ставки'!$B$5</f>
        <v>137.4825</v>
      </c>
      <c r="F173" s="422">
        <v>0.32</v>
      </c>
      <c r="G173" s="401">
        <f t="shared" si="8"/>
        <v>43.9944</v>
      </c>
      <c r="H173" s="424">
        <f>G173*'Тарифные ставки'!$B$13</f>
        <v>113.505552</v>
      </c>
      <c r="I173" s="424">
        <f>H173*'Тарифные ставки'!$B$14*'Тарифные ставки'!$B$15</f>
        <v>137.568729024</v>
      </c>
      <c r="J173" s="401">
        <f>I173-I173/'Тарифные ставки'!$B$15</f>
        <v>22.92812150399999</v>
      </c>
      <c r="K173" s="401">
        <v>115.08140159999999</v>
      </c>
      <c r="L173" s="424">
        <f t="shared" si="9"/>
        <v>19.540366307113175</v>
      </c>
      <c r="S173" s="361">
        <f t="shared" si="10"/>
        <v>0</v>
      </c>
    </row>
    <row r="174" spans="1:19" ht="15.75">
      <c r="A174" s="136" t="s">
        <v>830</v>
      </c>
      <c r="B174" s="124" t="s">
        <v>668</v>
      </c>
      <c r="C174" s="93" t="s">
        <v>1416</v>
      </c>
      <c r="D174" s="463" t="s">
        <v>1103</v>
      </c>
      <c r="E174" s="422">
        <f>'Тарифные ставки'!$B$5</f>
        <v>137.4825</v>
      </c>
      <c r="F174" s="422">
        <v>0.4</v>
      </c>
      <c r="G174" s="401">
        <f t="shared" si="8"/>
        <v>54.992999999999995</v>
      </c>
      <c r="H174" s="424">
        <f>G174*'Тарифные ставки'!$B$13</f>
        <v>141.88194</v>
      </c>
      <c r="I174" s="424">
        <f>H174*'Тарифные ставки'!$B$14*'Тарифные ставки'!$B$15</f>
        <v>171.96091127999998</v>
      </c>
      <c r="J174" s="401">
        <f>I174-I174/'Тарифные ставки'!$B$15</f>
        <v>28.66015188</v>
      </c>
      <c r="K174" s="401">
        <v>143.85175200000003</v>
      </c>
      <c r="L174" s="424">
        <f t="shared" si="9"/>
        <v>19.540366307113132</v>
      </c>
      <c r="S174" s="361">
        <f t="shared" si="10"/>
        <v>0</v>
      </c>
    </row>
    <row r="175" spans="1:19" ht="15.75">
      <c r="A175" s="136" t="s">
        <v>831</v>
      </c>
      <c r="B175" s="124" t="s">
        <v>832</v>
      </c>
      <c r="C175" s="93" t="s">
        <v>1416</v>
      </c>
      <c r="D175" s="463" t="s">
        <v>1103</v>
      </c>
      <c r="E175" s="422">
        <f>'Тарифные ставки'!$B$5</f>
        <v>137.4825</v>
      </c>
      <c r="F175" s="422">
        <v>0.55</v>
      </c>
      <c r="G175" s="401">
        <f t="shared" si="8"/>
        <v>75.615375</v>
      </c>
      <c r="H175" s="424">
        <f>G175*'Тарифные ставки'!$B$13</f>
        <v>195.0876675</v>
      </c>
      <c r="I175" s="424">
        <f>H175*'Тарифные ставки'!$B$14*'Тарифные ставки'!$B$15</f>
        <v>236.44625301</v>
      </c>
      <c r="J175" s="401">
        <f>I175-I175/'Тарифные ставки'!$B$15</f>
        <v>39.407708834999994</v>
      </c>
      <c r="K175" s="401">
        <v>197.79615900000005</v>
      </c>
      <c r="L175" s="424">
        <f t="shared" si="9"/>
        <v>19.540366307113132</v>
      </c>
      <c r="S175" s="361">
        <f t="shared" si="10"/>
        <v>0</v>
      </c>
    </row>
    <row r="176" spans="1:19" ht="31.5">
      <c r="A176" s="136" t="s">
        <v>833</v>
      </c>
      <c r="B176" s="124" t="s">
        <v>912</v>
      </c>
      <c r="C176" s="93" t="s">
        <v>1416</v>
      </c>
      <c r="D176" s="463" t="s">
        <v>1103</v>
      </c>
      <c r="E176" s="422">
        <f>'Тарифные ставки'!$B$5</f>
        <v>137.4825</v>
      </c>
      <c r="F176" s="422">
        <v>0.75</v>
      </c>
      <c r="G176" s="401">
        <f t="shared" si="8"/>
        <v>103.111875</v>
      </c>
      <c r="H176" s="424">
        <f>G176*'Тарифные ставки'!$B$13</f>
        <v>266.0286375</v>
      </c>
      <c r="I176" s="424">
        <f>H176*'Тарифные ставки'!$B$14*'Тарифные ставки'!$B$15</f>
        <v>322.42670864999997</v>
      </c>
      <c r="J176" s="401">
        <f>I176-I176/'Тарифные ставки'!$B$15</f>
        <v>53.737784774999966</v>
      </c>
      <c r="K176" s="401">
        <v>269.722035</v>
      </c>
      <c r="L176" s="424">
        <f t="shared" si="9"/>
        <v>19.54036630711316</v>
      </c>
      <c r="S176" s="361">
        <f t="shared" si="10"/>
        <v>0</v>
      </c>
    </row>
    <row r="177" spans="1:19" ht="15.75">
      <c r="A177" s="136" t="s">
        <v>913</v>
      </c>
      <c r="B177" s="124" t="s">
        <v>914</v>
      </c>
      <c r="C177" s="93" t="s">
        <v>1416</v>
      </c>
      <c r="D177" s="463" t="s">
        <v>1103</v>
      </c>
      <c r="E177" s="422">
        <f>'Тарифные ставки'!$B$5</f>
        <v>137.4825</v>
      </c>
      <c r="F177" s="422">
        <v>0.25</v>
      </c>
      <c r="G177" s="401">
        <f t="shared" si="8"/>
        <v>34.370625</v>
      </c>
      <c r="H177" s="424">
        <f>G177*'Тарифные ставки'!$B$13</f>
        <v>88.67621249999999</v>
      </c>
      <c r="I177" s="424">
        <f>H177*'Тарифные ставки'!$B$14*'Тарифные ставки'!$B$15</f>
        <v>107.47556954999999</v>
      </c>
      <c r="J177" s="401">
        <f>I177-I177/'Тарифные ставки'!$B$15</f>
        <v>17.912594924999993</v>
      </c>
      <c r="K177" s="401">
        <v>89.907345</v>
      </c>
      <c r="L177" s="424">
        <f t="shared" si="9"/>
        <v>19.54036630711316</v>
      </c>
      <c r="S177" s="361">
        <f t="shared" si="10"/>
        <v>0</v>
      </c>
    </row>
    <row r="178" spans="1:19" ht="15.75">
      <c r="A178" s="136" t="s">
        <v>915</v>
      </c>
      <c r="B178" s="124" t="s">
        <v>916</v>
      </c>
      <c r="C178" s="93" t="s">
        <v>1416</v>
      </c>
      <c r="D178" s="463" t="s">
        <v>1103</v>
      </c>
      <c r="E178" s="422">
        <f>'Тарифные ставки'!$B$5</f>
        <v>137.4825</v>
      </c>
      <c r="F178" s="422">
        <v>1.25</v>
      </c>
      <c r="G178" s="401">
        <f t="shared" si="8"/>
        <v>171.85312499999998</v>
      </c>
      <c r="H178" s="424">
        <f>G178*'Тарифные ставки'!$B$13</f>
        <v>443.3810624999999</v>
      </c>
      <c r="I178" s="424">
        <f>H178*'Тарифные ставки'!$B$14*'Тарифные ставки'!$B$15</f>
        <v>537.3778477499999</v>
      </c>
      <c r="J178" s="401">
        <f>I178-I178/'Тарифные ставки'!$B$15</f>
        <v>89.56297462499998</v>
      </c>
      <c r="K178" s="401">
        <v>449.5367250000001</v>
      </c>
      <c r="L178" s="424">
        <f t="shared" si="9"/>
        <v>19.540366307113118</v>
      </c>
      <c r="S178" s="361">
        <f t="shared" si="10"/>
        <v>0</v>
      </c>
    </row>
    <row r="179" spans="1:19" ht="15.75">
      <c r="A179" s="136" t="s">
        <v>917</v>
      </c>
      <c r="B179" s="124" t="s">
        <v>918</v>
      </c>
      <c r="C179" s="93" t="s">
        <v>811</v>
      </c>
      <c r="D179" s="463" t="s">
        <v>1103</v>
      </c>
      <c r="E179" s="422">
        <f>'Тарифные ставки'!$B$5</f>
        <v>137.4825</v>
      </c>
      <c r="F179" s="422">
        <v>0.8</v>
      </c>
      <c r="G179" s="401">
        <f t="shared" si="8"/>
        <v>109.98599999999999</v>
      </c>
      <c r="H179" s="424">
        <f>G179*'Тарифные ставки'!$B$13</f>
        <v>283.76388</v>
      </c>
      <c r="I179" s="424">
        <f>H179*'Тарифные ставки'!$B$14*'Тарифные ставки'!$B$15</f>
        <v>343.92182255999995</v>
      </c>
      <c r="J179" s="401">
        <f>I179-I179/'Тарифные ставки'!$B$15</f>
        <v>57.32030376</v>
      </c>
      <c r="K179" s="401">
        <v>287.70350400000007</v>
      </c>
      <c r="L179" s="424">
        <f t="shared" si="9"/>
        <v>19.540366307113132</v>
      </c>
      <c r="S179" s="361">
        <f t="shared" si="10"/>
        <v>0</v>
      </c>
    </row>
    <row r="180" spans="1:19" ht="31.5">
      <c r="A180" s="136" t="s">
        <v>919</v>
      </c>
      <c r="B180" s="124" t="s">
        <v>920</v>
      </c>
      <c r="C180" s="93" t="s">
        <v>1416</v>
      </c>
      <c r="D180" s="463" t="s">
        <v>1103</v>
      </c>
      <c r="E180" s="422">
        <f>'Тарифные ставки'!$B$5</f>
        <v>137.4825</v>
      </c>
      <c r="F180" s="422">
        <v>1</v>
      </c>
      <c r="G180" s="401">
        <f t="shared" si="8"/>
        <v>137.4825</v>
      </c>
      <c r="H180" s="424">
        <f>G180*'Тарифные ставки'!$B$13</f>
        <v>354.70484999999996</v>
      </c>
      <c r="I180" s="424">
        <f>H180*'Тарифные ставки'!$B$14*'Тарифные ставки'!$B$15</f>
        <v>429.90227819999996</v>
      </c>
      <c r="J180" s="401">
        <f>I180-I180/'Тарифные ставки'!$B$15</f>
        <v>71.65037969999997</v>
      </c>
      <c r="K180" s="401">
        <v>359.62938</v>
      </c>
      <c r="L180" s="424">
        <f t="shared" si="9"/>
        <v>19.54036630711316</v>
      </c>
      <c r="S180" s="361">
        <f t="shared" si="10"/>
        <v>0</v>
      </c>
    </row>
    <row r="181" spans="1:19" ht="31.5">
      <c r="A181" s="136" t="s">
        <v>921</v>
      </c>
      <c r="B181" s="124" t="s">
        <v>922</v>
      </c>
      <c r="C181" s="93" t="s">
        <v>1416</v>
      </c>
      <c r="D181" s="463" t="s">
        <v>1103</v>
      </c>
      <c r="E181" s="422">
        <f>'Тарифные ставки'!$B$5</f>
        <v>137.4825</v>
      </c>
      <c r="F181" s="422">
        <v>0.5</v>
      </c>
      <c r="G181" s="401">
        <f t="shared" si="8"/>
        <v>68.74125</v>
      </c>
      <c r="H181" s="424">
        <f>G181*'Тарифные ставки'!$B$13</f>
        <v>177.35242499999998</v>
      </c>
      <c r="I181" s="424">
        <f>H181*'Тарифные ставки'!$B$14*'Тарифные ставки'!$B$15</f>
        <v>214.95113909999998</v>
      </c>
      <c r="J181" s="401">
        <f>I181-I181/'Тарифные ставки'!$B$15</f>
        <v>35.82518984999999</v>
      </c>
      <c r="K181" s="401">
        <v>179.81469</v>
      </c>
      <c r="L181" s="424">
        <f t="shared" si="9"/>
        <v>19.54036630711316</v>
      </c>
      <c r="S181" s="361">
        <f t="shared" si="10"/>
        <v>0</v>
      </c>
    </row>
    <row r="182" spans="1:19" ht="15.75">
      <c r="A182" s="136" t="s">
        <v>923</v>
      </c>
      <c r="B182" s="124" t="s">
        <v>924</v>
      </c>
      <c r="C182" s="93" t="s">
        <v>1416</v>
      </c>
      <c r="D182" s="463" t="s">
        <v>1103</v>
      </c>
      <c r="E182" s="422">
        <f>'Тарифные ставки'!$B$5</f>
        <v>137.4825</v>
      </c>
      <c r="F182" s="422">
        <v>0.25</v>
      </c>
      <c r="G182" s="401">
        <f t="shared" si="8"/>
        <v>34.370625</v>
      </c>
      <c r="H182" s="424">
        <f>G182*'Тарифные ставки'!$B$13</f>
        <v>88.67621249999999</v>
      </c>
      <c r="I182" s="424">
        <f>H182*'Тарифные ставки'!$B$14*'Тарифные ставки'!$B$15</f>
        <v>107.47556954999999</v>
      </c>
      <c r="J182" s="401">
        <f>I182-I182/'Тарифные ставки'!$B$15</f>
        <v>17.912594924999993</v>
      </c>
      <c r="K182" s="401">
        <v>89.907345</v>
      </c>
      <c r="L182" s="424">
        <f t="shared" si="9"/>
        <v>19.54036630711316</v>
      </c>
      <c r="S182" s="361">
        <f t="shared" si="10"/>
        <v>0</v>
      </c>
    </row>
    <row r="183" spans="1:19" ht="31.5">
      <c r="A183" s="136" t="s">
        <v>925</v>
      </c>
      <c r="B183" s="124" t="s">
        <v>926</v>
      </c>
      <c r="C183" s="93" t="s">
        <v>1416</v>
      </c>
      <c r="D183" s="463" t="s">
        <v>1103</v>
      </c>
      <c r="E183" s="422">
        <f>'Тарифные ставки'!$B$5</f>
        <v>137.4825</v>
      </c>
      <c r="F183" s="422">
        <v>0.42</v>
      </c>
      <c r="G183" s="401">
        <f t="shared" si="8"/>
        <v>57.74264999999999</v>
      </c>
      <c r="H183" s="424">
        <f>G183*'Тарифные ставки'!$B$13</f>
        <v>148.976037</v>
      </c>
      <c r="I183" s="424">
        <f>H183*'Тарифные ставки'!$B$14*'Тарифные ставки'!$B$15</f>
        <v>180.558956844</v>
      </c>
      <c r="J183" s="401">
        <f>I183-I183/'Тарифные ставки'!$B$15</f>
        <v>30.093159474000004</v>
      </c>
      <c r="K183" s="401">
        <v>151.0443396</v>
      </c>
      <c r="L183" s="424">
        <f t="shared" si="9"/>
        <v>19.540366307113175</v>
      </c>
      <c r="S183" s="361">
        <f t="shared" si="10"/>
        <v>0</v>
      </c>
    </row>
    <row r="184" spans="1:19" ht="15.75">
      <c r="A184" s="136" t="s">
        <v>927</v>
      </c>
      <c r="B184" s="124" t="s">
        <v>928</v>
      </c>
      <c r="C184" s="93" t="s">
        <v>1416</v>
      </c>
      <c r="D184" s="463" t="s">
        <v>1103</v>
      </c>
      <c r="E184" s="422">
        <f>'Тарифные ставки'!$B$5</f>
        <v>137.4825</v>
      </c>
      <c r="F184" s="422">
        <v>0.25</v>
      </c>
      <c r="G184" s="401">
        <f t="shared" si="8"/>
        <v>34.370625</v>
      </c>
      <c r="H184" s="424">
        <f>G184*'Тарифные ставки'!$B$13</f>
        <v>88.67621249999999</v>
      </c>
      <c r="I184" s="424">
        <f>H184*'Тарифные ставки'!$B$14*'Тарифные ставки'!$B$15</f>
        <v>107.47556954999999</v>
      </c>
      <c r="J184" s="401">
        <f>I184-I184/'Тарифные ставки'!$B$15</f>
        <v>17.912594924999993</v>
      </c>
      <c r="K184" s="401">
        <v>89.907345</v>
      </c>
      <c r="L184" s="424">
        <f t="shared" si="9"/>
        <v>19.54036630711316</v>
      </c>
      <c r="S184" s="361">
        <f t="shared" si="10"/>
        <v>0</v>
      </c>
    </row>
    <row r="185" spans="1:19" ht="31.5">
      <c r="A185" s="136" t="s">
        <v>462</v>
      </c>
      <c r="B185" s="124" t="s">
        <v>2091</v>
      </c>
      <c r="C185" s="93" t="s">
        <v>1416</v>
      </c>
      <c r="D185" s="463" t="s">
        <v>1103</v>
      </c>
      <c r="E185" s="422">
        <f>'Тарифные ставки'!$B$5</f>
        <v>137.4825</v>
      </c>
      <c r="F185" s="422">
        <v>0.5</v>
      </c>
      <c r="G185" s="401">
        <f>E185*F185</f>
        <v>68.74125</v>
      </c>
      <c r="H185" s="424">
        <f>G185*'Тарифные ставки'!$B$13</f>
        <v>177.35242499999998</v>
      </c>
      <c r="I185" s="424">
        <f>H185*'Тарифные ставки'!$B$14*'Тарифные ставки'!$B$15</f>
        <v>214.95113909999998</v>
      </c>
      <c r="J185" s="401">
        <f>I185-I185/'Тарифные ставки'!$B$15</f>
        <v>35.82518984999999</v>
      </c>
      <c r="K185" s="401">
        <v>179.81469</v>
      </c>
      <c r="L185" s="424">
        <f t="shared" si="9"/>
        <v>19.54036630711316</v>
      </c>
      <c r="S185" s="361">
        <f t="shared" si="10"/>
        <v>0</v>
      </c>
    </row>
    <row r="186" spans="1:19" ht="15.75">
      <c r="A186" s="136" t="s">
        <v>463</v>
      </c>
      <c r="B186" s="124" t="s">
        <v>2092</v>
      </c>
      <c r="C186" s="93" t="s">
        <v>1416</v>
      </c>
      <c r="D186" s="463" t="s">
        <v>1103</v>
      </c>
      <c r="E186" s="422">
        <f>'Тарифные ставки'!$B$5</f>
        <v>137.4825</v>
      </c>
      <c r="F186" s="422">
        <v>0.3</v>
      </c>
      <c r="G186" s="401">
        <f>E186*F186</f>
        <v>41.244749999999996</v>
      </c>
      <c r="H186" s="424">
        <f>G186*'Тарифные ставки'!$B$13</f>
        <v>106.41145499999999</v>
      </c>
      <c r="I186" s="424">
        <f>H186*'Тарифные ставки'!$B$14*'Тарифные ставки'!$B$15</f>
        <v>128.97068345999998</v>
      </c>
      <c r="J186" s="401">
        <f>I186-I186/'Тарифные ставки'!$B$15</f>
        <v>21.495113909999986</v>
      </c>
      <c r="K186" s="401">
        <v>107.88881400000002</v>
      </c>
      <c r="L186" s="424">
        <f t="shared" si="9"/>
        <v>19.540366307113132</v>
      </c>
      <c r="S186" s="361">
        <f t="shared" si="10"/>
        <v>0</v>
      </c>
    </row>
    <row r="187" spans="1:19" ht="31.5">
      <c r="A187" s="136" t="s">
        <v>1524</v>
      </c>
      <c r="B187" s="582" t="s">
        <v>2483</v>
      </c>
      <c r="C187" s="93" t="s">
        <v>1416</v>
      </c>
      <c r="D187" s="463" t="s">
        <v>1103</v>
      </c>
      <c r="E187" s="422">
        <f>'Тарифные ставки'!$B$5</f>
        <v>137.4825</v>
      </c>
      <c r="F187" s="422">
        <v>0.25</v>
      </c>
      <c r="G187" s="401">
        <f t="shared" si="8"/>
        <v>34.370625</v>
      </c>
      <c r="H187" s="424">
        <f>G187*'Тарифные ставки'!$B$13</f>
        <v>88.67621249999999</v>
      </c>
      <c r="I187" s="424">
        <f>H187*'Тарифные ставки'!$B$14*'Тарифные ставки'!$B$15</f>
        <v>107.47556954999999</v>
      </c>
      <c r="J187" s="401">
        <f>I187-I187/'Тарифные ставки'!$B$15</f>
        <v>17.912594924999993</v>
      </c>
      <c r="K187" s="401">
        <v>89.907345</v>
      </c>
      <c r="L187" s="424">
        <f t="shared" si="9"/>
        <v>19.54036630711316</v>
      </c>
      <c r="S187" s="361">
        <f t="shared" si="10"/>
        <v>0</v>
      </c>
    </row>
    <row r="188" spans="1:19" ht="31.5">
      <c r="A188" s="136" t="s">
        <v>929</v>
      </c>
      <c r="B188" s="124" t="s">
        <v>2093</v>
      </c>
      <c r="C188" s="93" t="s">
        <v>1416</v>
      </c>
      <c r="D188" s="463" t="s">
        <v>1103</v>
      </c>
      <c r="E188" s="422">
        <f>'Тарифные ставки'!$B$5</f>
        <v>137.4825</v>
      </c>
      <c r="F188" s="422">
        <v>0.5</v>
      </c>
      <c r="G188" s="401">
        <f t="shared" si="8"/>
        <v>68.74125</v>
      </c>
      <c r="H188" s="424">
        <f>G188*'Тарифные ставки'!$B$13</f>
        <v>177.35242499999998</v>
      </c>
      <c r="I188" s="424">
        <f>H188*'Тарифные ставки'!$B$14*'Тарифные ставки'!$B$15</f>
        <v>214.95113909999998</v>
      </c>
      <c r="J188" s="401">
        <f>I188-I188/'Тарифные ставки'!$B$15</f>
        <v>35.82518984999999</v>
      </c>
      <c r="K188" s="401">
        <v>179.81469</v>
      </c>
      <c r="L188" s="424">
        <f t="shared" si="9"/>
        <v>19.54036630711316</v>
      </c>
      <c r="S188" s="361">
        <f t="shared" si="10"/>
        <v>0</v>
      </c>
    </row>
    <row r="189" spans="1:19" ht="15.75">
      <c r="A189" s="136" t="s">
        <v>930</v>
      </c>
      <c r="B189" s="124" t="s">
        <v>931</v>
      </c>
      <c r="C189" s="93" t="s">
        <v>1416</v>
      </c>
      <c r="D189" s="463" t="s">
        <v>1103</v>
      </c>
      <c r="E189" s="422">
        <f>'Тарифные ставки'!$B$5</f>
        <v>137.4825</v>
      </c>
      <c r="F189" s="422">
        <v>0.5</v>
      </c>
      <c r="G189" s="401">
        <f t="shared" si="8"/>
        <v>68.74125</v>
      </c>
      <c r="H189" s="424">
        <f>G189*'Тарифные ставки'!$B$13</f>
        <v>177.35242499999998</v>
      </c>
      <c r="I189" s="424">
        <f>H189*'Тарифные ставки'!$B$14*'Тарифные ставки'!$B$15</f>
        <v>214.95113909999998</v>
      </c>
      <c r="J189" s="401">
        <f>I189-I189/'Тарифные ставки'!$B$15</f>
        <v>35.82518984999999</v>
      </c>
      <c r="K189" s="401">
        <v>179.81469</v>
      </c>
      <c r="L189" s="424">
        <f t="shared" si="9"/>
        <v>19.54036630711316</v>
      </c>
      <c r="S189" s="361">
        <f t="shared" si="10"/>
        <v>0</v>
      </c>
    </row>
    <row r="190" spans="1:19" ht="15.75">
      <c r="A190" s="136" t="s">
        <v>932</v>
      </c>
      <c r="B190" s="124" t="s">
        <v>933</v>
      </c>
      <c r="C190" s="93" t="s">
        <v>1416</v>
      </c>
      <c r="D190" s="463" t="s">
        <v>1103</v>
      </c>
      <c r="E190" s="422">
        <f>'Тарифные ставки'!$B$5</f>
        <v>137.4825</v>
      </c>
      <c r="F190" s="422">
        <v>0.91</v>
      </c>
      <c r="G190" s="401">
        <f t="shared" si="8"/>
        <v>125.10907499999999</v>
      </c>
      <c r="H190" s="424">
        <f>G190*'Тарифные ставки'!$B$13</f>
        <v>322.7814135</v>
      </c>
      <c r="I190" s="424">
        <f>H190*'Тарифные ставки'!$B$14*'Тарифные ставки'!$B$15</f>
        <v>391.211073162</v>
      </c>
      <c r="J190" s="401">
        <f>I190-I190/'Тарифные ставки'!$B$15</f>
        <v>65.20184552699999</v>
      </c>
      <c r="K190" s="401">
        <v>327.26273580000003</v>
      </c>
      <c r="L190" s="424">
        <f t="shared" si="9"/>
        <v>19.54036630711316</v>
      </c>
      <c r="S190" s="361">
        <f t="shared" si="10"/>
        <v>0</v>
      </c>
    </row>
    <row r="191" spans="1:19" ht="15.75">
      <c r="A191" s="136" t="s">
        <v>934</v>
      </c>
      <c r="B191" s="124" t="s">
        <v>935</v>
      </c>
      <c r="C191" s="93" t="s">
        <v>1416</v>
      </c>
      <c r="D191" s="463" t="s">
        <v>1103</v>
      </c>
      <c r="E191" s="422">
        <f>'Тарифные ставки'!$B$5</f>
        <v>137.4825</v>
      </c>
      <c r="F191" s="422">
        <v>0.72</v>
      </c>
      <c r="G191" s="401">
        <f t="shared" si="8"/>
        <v>98.9874</v>
      </c>
      <c r="H191" s="424">
        <f>G191*'Тарифные ставки'!$B$13</f>
        <v>255.38749199999998</v>
      </c>
      <c r="I191" s="424">
        <f>H191*'Тарифные ставки'!$B$14*'Тарифные ставки'!$B$15</f>
        <v>309.529640304</v>
      </c>
      <c r="J191" s="401">
        <f>I191-I191/'Тарифные ставки'!$B$15</f>
        <v>51.58827338399999</v>
      </c>
      <c r="K191" s="401">
        <v>258.93315359999997</v>
      </c>
      <c r="L191" s="424">
        <f t="shared" si="9"/>
        <v>19.540366307113175</v>
      </c>
      <c r="S191" s="361">
        <f t="shared" si="10"/>
        <v>0</v>
      </c>
    </row>
    <row r="192" spans="1:19" ht="18" customHeight="1">
      <c r="A192" s="136" t="s">
        <v>936</v>
      </c>
      <c r="B192" s="124" t="s">
        <v>937</v>
      </c>
      <c r="C192" s="93" t="s">
        <v>1416</v>
      </c>
      <c r="D192" s="463" t="s">
        <v>1103</v>
      </c>
      <c r="E192" s="422">
        <f>'Тарифные ставки'!$B$5</f>
        <v>137.4825</v>
      </c>
      <c r="F192" s="422">
        <v>0.42</v>
      </c>
      <c r="G192" s="401">
        <f t="shared" si="8"/>
        <v>57.74264999999999</v>
      </c>
      <c r="H192" s="424">
        <f>G192*'Тарифные ставки'!$B$13</f>
        <v>148.976037</v>
      </c>
      <c r="I192" s="424">
        <f>H192*'Тарифные ставки'!$B$14*'Тарифные ставки'!$B$15</f>
        <v>180.558956844</v>
      </c>
      <c r="J192" s="401">
        <f>I192-I192/'Тарифные ставки'!$B$15</f>
        <v>30.093159474000004</v>
      </c>
      <c r="K192" s="401">
        <v>151.0443396</v>
      </c>
      <c r="L192" s="424">
        <f t="shared" si="9"/>
        <v>19.540366307113175</v>
      </c>
      <c r="S192" s="361">
        <f t="shared" si="10"/>
        <v>0</v>
      </c>
    </row>
    <row r="193" spans="1:19" ht="15.75">
      <c r="A193" s="136" t="s">
        <v>938</v>
      </c>
      <c r="B193" s="124" t="s">
        <v>939</v>
      </c>
      <c r="C193" s="93" t="s">
        <v>1416</v>
      </c>
      <c r="D193" s="463" t="s">
        <v>1103</v>
      </c>
      <c r="E193" s="422">
        <f>'Тарифные ставки'!$B$5</f>
        <v>137.4825</v>
      </c>
      <c r="F193" s="422">
        <v>0.5</v>
      </c>
      <c r="G193" s="401">
        <f t="shared" si="8"/>
        <v>68.74125</v>
      </c>
      <c r="H193" s="424">
        <f>G193*'Тарифные ставки'!$B$13</f>
        <v>177.35242499999998</v>
      </c>
      <c r="I193" s="424">
        <f>H193*'Тарифные ставки'!$B$14*'Тарифные ставки'!$B$15</f>
        <v>214.95113909999998</v>
      </c>
      <c r="J193" s="401">
        <f>I193-I193/'Тарифные ставки'!$B$15</f>
        <v>35.82518984999999</v>
      </c>
      <c r="K193" s="401">
        <v>179.81469</v>
      </c>
      <c r="L193" s="424">
        <f t="shared" si="9"/>
        <v>19.54036630711316</v>
      </c>
      <c r="S193" s="361">
        <f t="shared" si="10"/>
        <v>0</v>
      </c>
    </row>
    <row r="194" spans="1:19" ht="15.75">
      <c r="A194" s="136" t="s">
        <v>940</v>
      </c>
      <c r="B194" s="124" t="s">
        <v>941</v>
      </c>
      <c r="C194" s="93" t="s">
        <v>1416</v>
      </c>
      <c r="D194" s="463" t="s">
        <v>1103</v>
      </c>
      <c r="E194" s="422">
        <f>'Тарифные ставки'!$B$5</f>
        <v>137.4825</v>
      </c>
      <c r="F194" s="422">
        <v>2</v>
      </c>
      <c r="G194" s="401">
        <f t="shared" si="8"/>
        <v>274.965</v>
      </c>
      <c r="H194" s="424">
        <f>G194*'Тарифные ставки'!$B$13</f>
        <v>709.4096999999999</v>
      </c>
      <c r="I194" s="424">
        <f>H194*'Тарифные ставки'!$B$14*'Тарифные ставки'!$B$15</f>
        <v>859.8045563999999</v>
      </c>
      <c r="J194" s="401">
        <f>I194-I194/'Тарифные ставки'!$B$15</f>
        <v>143.30075939999995</v>
      </c>
      <c r="K194" s="401">
        <v>719.25876</v>
      </c>
      <c r="L194" s="424">
        <f t="shared" si="9"/>
        <v>19.54036630711316</v>
      </c>
      <c r="S194" s="361">
        <f t="shared" si="10"/>
        <v>0</v>
      </c>
    </row>
    <row r="195" spans="1:19" ht="15.75">
      <c r="A195" s="136" t="s">
        <v>942</v>
      </c>
      <c r="B195" s="124" t="s">
        <v>694</v>
      </c>
      <c r="C195" s="93" t="s">
        <v>1416</v>
      </c>
      <c r="D195" s="463" t="s">
        <v>1103</v>
      </c>
      <c r="E195" s="422">
        <f>'Тарифные ставки'!$B$5</f>
        <v>137.4825</v>
      </c>
      <c r="F195" s="422">
        <v>2</v>
      </c>
      <c r="G195" s="401">
        <f t="shared" si="8"/>
        <v>274.965</v>
      </c>
      <c r="H195" s="424">
        <f>G195*'Тарифные ставки'!$B$13</f>
        <v>709.4096999999999</v>
      </c>
      <c r="I195" s="424">
        <f>H195*'Тарифные ставки'!$B$14*'Тарифные ставки'!$B$15</f>
        <v>859.8045563999999</v>
      </c>
      <c r="J195" s="401">
        <f>I195-I195/'Тарифные ставки'!$B$15</f>
        <v>143.30075939999995</v>
      </c>
      <c r="K195" s="401">
        <v>719.25876</v>
      </c>
      <c r="L195" s="424">
        <f t="shared" si="9"/>
        <v>19.54036630711316</v>
      </c>
      <c r="S195" s="361">
        <f t="shared" si="10"/>
        <v>0</v>
      </c>
    </row>
    <row r="196" spans="1:19" ht="15.75">
      <c r="A196" s="136" t="s">
        <v>1529</v>
      </c>
      <c r="B196" s="124" t="s">
        <v>695</v>
      </c>
      <c r="C196" s="93" t="s">
        <v>1416</v>
      </c>
      <c r="D196" s="463" t="s">
        <v>1103</v>
      </c>
      <c r="E196" s="422">
        <f>'Тарифные ставки'!$B$5</f>
        <v>137.4825</v>
      </c>
      <c r="F196" s="422">
        <v>0.35</v>
      </c>
      <c r="G196" s="401">
        <f t="shared" si="8"/>
        <v>48.118874999999996</v>
      </c>
      <c r="H196" s="424">
        <f>G196*'Тарифные ставки'!$B$13</f>
        <v>124.14669749999999</v>
      </c>
      <c r="I196" s="424">
        <f>H196*'Тарифные ставки'!$B$14*'Тарифные ставки'!$B$15</f>
        <v>150.46579736999996</v>
      </c>
      <c r="J196" s="401">
        <f>I196-I196/'Тарифные ставки'!$B$15</f>
        <v>25.077632894999994</v>
      </c>
      <c r="K196" s="401">
        <v>125.870283</v>
      </c>
      <c r="L196" s="424">
        <f t="shared" si="9"/>
        <v>19.540366307113132</v>
      </c>
      <c r="S196" s="361">
        <f t="shared" si="10"/>
        <v>0</v>
      </c>
    </row>
    <row r="197" spans="1:19" ht="15.75">
      <c r="A197" s="136" t="s">
        <v>696</v>
      </c>
      <c r="B197" s="124" t="s">
        <v>697</v>
      </c>
      <c r="C197" s="93" t="s">
        <v>1416</v>
      </c>
      <c r="D197" s="463" t="s">
        <v>1103</v>
      </c>
      <c r="E197" s="422">
        <f>'Тарифные ставки'!$B$5</f>
        <v>137.4825</v>
      </c>
      <c r="F197" s="422">
        <v>0.65</v>
      </c>
      <c r="G197" s="401">
        <f t="shared" si="8"/>
        <v>89.363625</v>
      </c>
      <c r="H197" s="424">
        <f>G197*'Тарифные ставки'!$B$13</f>
        <v>230.5581525</v>
      </c>
      <c r="I197" s="424">
        <f>H197*'Тарифные ставки'!$B$14*'Тарифные ставки'!$B$15</f>
        <v>279.43648083</v>
      </c>
      <c r="J197" s="401">
        <f>I197-I197/'Тарифные ставки'!$B$15</f>
        <v>46.57274680499998</v>
      </c>
      <c r="K197" s="401">
        <v>233.759097</v>
      </c>
      <c r="L197" s="424">
        <f t="shared" si="9"/>
        <v>19.540366307113175</v>
      </c>
      <c r="S197" s="361">
        <f t="shared" si="10"/>
        <v>0</v>
      </c>
    </row>
    <row r="198" spans="1:19" ht="15.75">
      <c r="A198" s="136" t="s">
        <v>698</v>
      </c>
      <c r="B198" s="124" t="s">
        <v>2484</v>
      </c>
      <c r="C198" s="93" t="s">
        <v>1416</v>
      </c>
      <c r="D198" s="463" t="s">
        <v>1103</v>
      </c>
      <c r="E198" s="422">
        <f>'Тарифные ставки'!$B$5</f>
        <v>137.4825</v>
      </c>
      <c r="F198" s="422">
        <v>1</v>
      </c>
      <c r="G198" s="401">
        <f t="shared" si="8"/>
        <v>137.4825</v>
      </c>
      <c r="H198" s="424">
        <f>G198*'Тарифные ставки'!$B$13</f>
        <v>354.70484999999996</v>
      </c>
      <c r="I198" s="424">
        <f>H198*'Тарифные ставки'!$B$14*'Тарифные ставки'!$B$15</f>
        <v>429.90227819999996</v>
      </c>
      <c r="J198" s="401">
        <f>I198-I198/'Тарифные ставки'!$B$15</f>
        <v>71.65037969999997</v>
      </c>
      <c r="K198" s="401">
        <v>359.62938</v>
      </c>
      <c r="L198" s="424">
        <f t="shared" si="9"/>
        <v>19.54036630711316</v>
      </c>
      <c r="S198" s="361">
        <f t="shared" si="10"/>
        <v>0</v>
      </c>
    </row>
    <row r="199" spans="1:19" ht="15.75">
      <c r="A199" s="136" t="s">
        <v>1161</v>
      </c>
      <c r="B199" s="124" t="s">
        <v>2094</v>
      </c>
      <c r="C199" s="93" t="s">
        <v>1416</v>
      </c>
      <c r="D199" s="463" t="s">
        <v>1103</v>
      </c>
      <c r="E199" s="422">
        <f>'Тарифные ставки'!$B$5</f>
        <v>137.4825</v>
      </c>
      <c r="F199" s="422">
        <v>0.1</v>
      </c>
      <c r="G199" s="401">
        <f>E199*F199</f>
        <v>13.748249999999999</v>
      </c>
      <c r="H199" s="424">
        <f>G199*'Тарифные ставки'!$B$13</f>
        <v>35.470485</v>
      </c>
      <c r="I199" s="424">
        <f>H199*'Тарифные ставки'!$B$14*'Тарифные ставки'!$B$15</f>
        <v>42.990227819999994</v>
      </c>
      <c r="J199" s="401">
        <f>I199-I199/'Тарифные ставки'!$B$15</f>
        <v>7.16503797</v>
      </c>
      <c r="K199" s="401">
        <v>35.96293800000001</v>
      </c>
      <c r="L199" s="424">
        <f t="shared" si="9"/>
        <v>19.540366307113132</v>
      </c>
      <c r="S199" s="361">
        <f t="shared" si="10"/>
        <v>0</v>
      </c>
    </row>
    <row r="200" spans="1:19" ht="15.75">
      <c r="A200" s="136" t="s">
        <v>2069</v>
      </c>
      <c r="B200" s="124" t="s">
        <v>2070</v>
      </c>
      <c r="C200" s="93" t="s">
        <v>1416</v>
      </c>
      <c r="D200" s="463" t="s">
        <v>1103</v>
      </c>
      <c r="E200" s="422">
        <f>'Тарифные ставки'!$B$5</f>
        <v>137.4825</v>
      </c>
      <c r="F200" s="422">
        <v>0.66</v>
      </c>
      <c r="G200" s="401">
        <f t="shared" si="8"/>
        <v>90.73845</v>
      </c>
      <c r="H200" s="424">
        <f>G200*'Тарифные ставки'!$B$13</f>
        <v>234.105201</v>
      </c>
      <c r="I200" s="424">
        <f>H200*'Тарифные ставки'!$B$14*'Тарифные ставки'!$B$15</f>
        <v>283.735503612</v>
      </c>
      <c r="J200" s="401">
        <f>I200-I200/'Тарифные ставки'!$B$15</f>
        <v>47.28925060199998</v>
      </c>
      <c r="K200" s="401">
        <v>237.3553908</v>
      </c>
      <c r="L200" s="424">
        <f t="shared" si="9"/>
        <v>19.540366307113175</v>
      </c>
      <c r="S200" s="361">
        <f t="shared" si="10"/>
        <v>0</v>
      </c>
    </row>
    <row r="201" spans="1:19" ht="63">
      <c r="A201" s="459" t="s">
        <v>83</v>
      </c>
      <c r="B201" s="371" t="s">
        <v>82</v>
      </c>
      <c r="C201" s="371" t="s">
        <v>77</v>
      </c>
      <c r="D201" s="371" t="s">
        <v>81</v>
      </c>
      <c r="E201" s="388" t="s">
        <v>85</v>
      </c>
      <c r="F201" s="477" t="s">
        <v>78</v>
      </c>
      <c r="G201" s="477" t="s">
        <v>79</v>
      </c>
      <c r="H201" s="477" t="s">
        <v>80</v>
      </c>
      <c r="I201" s="382" t="s">
        <v>843</v>
      </c>
      <c r="J201" s="382" t="s">
        <v>2349</v>
      </c>
      <c r="K201" s="535"/>
      <c r="L201" s="538"/>
      <c r="S201" s="361"/>
    </row>
    <row r="202" spans="1:19" ht="47.25">
      <c r="A202" s="128"/>
      <c r="B202" s="533" t="s">
        <v>2485</v>
      </c>
      <c r="C202" s="24"/>
      <c r="D202" s="24"/>
      <c r="E202" s="422"/>
      <c r="F202" s="421"/>
      <c r="G202" s="421"/>
      <c r="H202" s="421"/>
      <c r="I202" s="421"/>
      <c r="J202" s="421"/>
      <c r="K202" s="538"/>
      <c r="L202" s="538"/>
      <c r="S202" s="361"/>
    </row>
    <row r="203" spans="1:19" ht="47.25">
      <c r="A203" s="136" t="s">
        <v>2071</v>
      </c>
      <c r="B203" s="124" t="s">
        <v>2072</v>
      </c>
      <c r="C203" s="93" t="s">
        <v>810</v>
      </c>
      <c r="D203" s="463" t="s">
        <v>1103</v>
      </c>
      <c r="E203" s="422">
        <f>'Тарифные ставки'!$B$5</f>
        <v>137.4825</v>
      </c>
      <c r="F203" s="422">
        <v>4.2</v>
      </c>
      <c r="G203" s="544">
        <f>E203*F203</f>
        <v>577.4264999999999</v>
      </c>
      <c r="H203" s="424">
        <f>G203*'Тарифные ставки'!$B$13</f>
        <v>1489.7603699999997</v>
      </c>
      <c r="I203" s="424">
        <f>H203*'Тарифные ставки'!$B$14*'Тарифные ставки'!$B$15</f>
        <v>1805.5895684399995</v>
      </c>
      <c r="J203" s="544">
        <f>I203-I203/'Тарифные ставки'!$B$15</f>
        <v>300.9315947399998</v>
      </c>
      <c r="K203" s="544">
        <v>1510.4433960000003</v>
      </c>
      <c r="L203" s="424">
        <f aca="true" t="shared" si="12" ref="L203:L264">I203/K203*100-100</f>
        <v>19.540366307113118</v>
      </c>
      <c r="S203" s="361">
        <f aca="true" t="shared" si="13" ref="S203:S264">R203/I203*100</f>
        <v>0</v>
      </c>
    </row>
    <row r="204" spans="1:19" ht="15.75">
      <c r="A204" s="136" t="s">
        <v>2073</v>
      </c>
      <c r="B204" s="124" t="s">
        <v>2074</v>
      </c>
      <c r="C204" s="93" t="s">
        <v>810</v>
      </c>
      <c r="D204" s="463" t="s">
        <v>1103</v>
      </c>
      <c r="E204" s="422">
        <f>'Тарифные ставки'!$B$5</f>
        <v>137.4825</v>
      </c>
      <c r="F204" s="422">
        <v>1.08</v>
      </c>
      <c r="G204" s="544">
        <f aca="true" t="shared" si="14" ref="G204:G227">E204*F204</f>
        <v>148.4811</v>
      </c>
      <c r="H204" s="424">
        <f>G204*'Тарифные ставки'!$B$13</f>
        <v>383.081238</v>
      </c>
      <c r="I204" s="424">
        <f>H204*'Тарифные ставки'!$B$14*'Тарифные ставки'!$B$15</f>
        <v>464.29446045599997</v>
      </c>
      <c r="J204" s="544">
        <f>I204-I204/'Тарифные ставки'!$B$15</f>
        <v>77.38241007599999</v>
      </c>
      <c r="K204" s="544">
        <v>388.39973040000007</v>
      </c>
      <c r="L204" s="424">
        <f t="shared" si="12"/>
        <v>19.54036630711316</v>
      </c>
      <c r="S204" s="361">
        <f t="shared" si="13"/>
        <v>0</v>
      </c>
    </row>
    <row r="205" spans="1:19" ht="31.5">
      <c r="A205" s="136" t="s">
        <v>2075</v>
      </c>
      <c r="B205" s="124" t="s">
        <v>2076</v>
      </c>
      <c r="C205" s="93" t="s">
        <v>811</v>
      </c>
      <c r="D205" s="463" t="s">
        <v>1103</v>
      </c>
      <c r="E205" s="422">
        <f>'Тарифные ставки'!$B$5</f>
        <v>137.4825</v>
      </c>
      <c r="F205" s="422">
        <v>0.96</v>
      </c>
      <c r="G205" s="544">
        <f t="shared" si="14"/>
        <v>131.98319999999998</v>
      </c>
      <c r="H205" s="424">
        <f>G205*'Тарифные ставки'!$B$13</f>
        <v>340.51665599999995</v>
      </c>
      <c r="I205" s="424">
        <f>H205*'Тарифные ставки'!$B$14*'Тарифные ставки'!$B$15</f>
        <v>412.7061870719999</v>
      </c>
      <c r="J205" s="544">
        <f>I205-I205/'Тарифные ставки'!$B$15</f>
        <v>68.78436451199997</v>
      </c>
      <c r="K205" s="544">
        <v>345.2442048000001</v>
      </c>
      <c r="L205" s="424">
        <f t="shared" si="12"/>
        <v>19.540366307113118</v>
      </c>
      <c r="S205" s="361">
        <f t="shared" si="13"/>
        <v>0</v>
      </c>
    </row>
    <row r="206" spans="1:19" ht="15.75">
      <c r="A206" s="136" t="s">
        <v>2077</v>
      </c>
      <c r="B206" s="124" t="s">
        <v>2078</v>
      </c>
      <c r="C206" s="93" t="s">
        <v>811</v>
      </c>
      <c r="D206" s="463" t="s">
        <v>1103</v>
      </c>
      <c r="E206" s="422">
        <f>'Тарифные ставки'!$B$5</f>
        <v>137.4825</v>
      </c>
      <c r="F206" s="422">
        <v>2.8</v>
      </c>
      <c r="G206" s="544">
        <f t="shared" si="14"/>
        <v>384.95099999999996</v>
      </c>
      <c r="H206" s="424">
        <f>G206*'Тарифные ставки'!$B$13</f>
        <v>993.1735799999999</v>
      </c>
      <c r="I206" s="424">
        <f>H206*'Тарифные ставки'!$B$14*'Тарифные ставки'!$B$15</f>
        <v>1203.7263789599997</v>
      </c>
      <c r="J206" s="544">
        <f>I206-I206/'Тарифные ставки'!$B$15</f>
        <v>200.62106315999995</v>
      </c>
      <c r="K206" s="544">
        <v>1006.962264</v>
      </c>
      <c r="L206" s="424">
        <f t="shared" si="12"/>
        <v>19.540366307113132</v>
      </c>
      <c r="S206" s="361">
        <f t="shared" si="13"/>
        <v>0</v>
      </c>
    </row>
    <row r="207" spans="1:19" ht="15.75">
      <c r="A207" s="136" t="s">
        <v>2079</v>
      </c>
      <c r="B207" s="124" t="s">
        <v>2080</v>
      </c>
      <c r="C207" s="93" t="s">
        <v>811</v>
      </c>
      <c r="D207" s="463" t="s">
        <v>1103</v>
      </c>
      <c r="E207" s="422">
        <f>'Тарифные ставки'!$B$5</f>
        <v>137.4825</v>
      </c>
      <c r="F207" s="422">
        <v>1.38</v>
      </c>
      <c r="G207" s="544">
        <f t="shared" si="14"/>
        <v>189.72584999999998</v>
      </c>
      <c r="H207" s="424">
        <f>G207*'Тарифные ставки'!$B$13</f>
        <v>489.492693</v>
      </c>
      <c r="I207" s="424">
        <f>H207*'Тарифные ставки'!$B$14*'Тарифные ставки'!$B$15</f>
        <v>593.2651439159999</v>
      </c>
      <c r="J207" s="544">
        <f>I207-I207/'Тарифные ставки'!$B$15</f>
        <v>98.87752398599997</v>
      </c>
      <c r="K207" s="544">
        <v>496.2885444</v>
      </c>
      <c r="L207" s="424">
        <f t="shared" si="12"/>
        <v>19.540366307113175</v>
      </c>
      <c r="S207" s="361">
        <f t="shared" si="13"/>
        <v>0</v>
      </c>
    </row>
    <row r="208" spans="1:19" ht="15.75">
      <c r="A208" s="136" t="s">
        <v>2081</v>
      </c>
      <c r="B208" s="124" t="s">
        <v>620</v>
      </c>
      <c r="C208" s="93" t="s">
        <v>812</v>
      </c>
      <c r="D208" s="463" t="s">
        <v>1103</v>
      </c>
      <c r="E208" s="422">
        <f>'Тарифные ставки'!$B$5</f>
        <v>137.4825</v>
      </c>
      <c r="F208" s="422">
        <v>0.77</v>
      </c>
      <c r="G208" s="544">
        <f t="shared" si="14"/>
        <v>105.86152499999999</v>
      </c>
      <c r="H208" s="424">
        <f>G208*'Тарифные ставки'!$B$13</f>
        <v>273.1227345</v>
      </c>
      <c r="I208" s="424">
        <f>H208*'Тарифные ставки'!$B$14*'Тарифные ставки'!$B$15</f>
        <v>331.0247542139999</v>
      </c>
      <c r="J208" s="544">
        <f>I208-I208/'Тарифные ставки'!$B$15</f>
        <v>55.17079236899997</v>
      </c>
      <c r="K208" s="544">
        <v>276.91462260000003</v>
      </c>
      <c r="L208" s="424">
        <f t="shared" si="12"/>
        <v>19.540366307113132</v>
      </c>
      <c r="S208" s="361">
        <f t="shared" si="13"/>
        <v>0</v>
      </c>
    </row>
    <row r="209" spans="1:19" ht="31.5">
      <c r="A209" s="136" t="s">
        <v>621</v>
      </c>
      <c r="B209" s="124" t="s">
        <v>622</v>
      </c>
      <c r="C209" s="93" t="s">
        <v>812</v>
      </c>
      <c r="D209" s="463" t="s">
        <v>1103</v>
      </c>
      <c r="E209" s="422">
        <f>'Тарифные ставки'!$B$5</f>
        <v>137.4825</v>
      </c>
      <c r="F209" s="422">
        <v>1.04</v>
      </c>
      <c r="G209" s="544">
        <f t="shared" si="14"/>
        <v>142.9818</v>
      </c>
      <c r="H209" s="424">
        <f>G209*'Тарифные ставки'!$B$13</f>
        <v>368.893044</v>
      </c>
      <c r="I209" s="424">
        <f>H209*'Тарифные ставки'!$B$14*'Тарифные ставки'!$B$15</f>
        <v>447.09836932799993</v>
      </c>
      <c r="J209" s="544">
        <f>I209-I209/'Тарифные ставки'!$B$15</f>
        <v>74.51639488799998</v>
      </c>
      <c r="K209" s="544">
        <v>374.0145552</v>
      </c>
      <c r="L209" s="424">
        <f t="shared" si="12"/>
        <v>19.54036630711316</v>
      </c>
      <c r="S209" s="361">
        <f t="shared" si="13"/>
        <v>0</v>
      </c>
    </row>
    <row r="210" spans="1:19" ht="31.5">
      <c r="A210" s="136" t="s">
        <v>1163</v>
      </c>
      <c r="B210" s="124" t="s">
        <v>623</v>
      </c>
      <c r="C210" s="93" t="s">
        <v>812</v>
      </c>
      <c r="D210" s="463" t="s">
        <v>1103</v>
      </c>
      <c r="E210" s="422">
        <f>'Тарифные ставки'!$B$5</f>
        <v>137.4825</v>
      </c>
      <c r="F210" s="422">
        <v>0.96</v>
      </c>
      <c r="G210" s="544">
        <f t="shared" si="14"/>
        <v>131.98319999999998</v>
      </c>
      <c r="H210" s="424">
        <f>G210*'Тарифные ставки'!$B$13</f>
        <v>340.51665599999995</v>
      </c>
      <c r="I210" s="424">
        <f>H210*'Тарифные ставки'!$B$14*'Тарифные ставки'!$B$15</f>
        <v>412.7061870719999</v>
      </c>
      <c r="J210" s="544">
        <f>I210-I210/'Тарифные ставки'!$B$15</f>
        <v>68.78436451199997</v>
      </c>
      <c r="K210" s="544">
        <v>345.2442048000001</v>
      </c>
      <c r="L210" s="424">
        <f t="shared" si="12"/>
        <v>19.540366307113118</v>
      </c>
      <c r="S210" s="361">
        <f t="shared" si="13"/>
        <v>0</v>
      </c>
    </row>
    <row r="211" spans="1:19" ht="15.75">
      <c r="A211" s="136" t="s">
        <v>624</v>
      </c>
      <c r="B211" s="124" t="s">
        <v>625</v>
      </c>
      <c r="C211" s="93" t="s">
        <v>1722</v>
      </c>
      <c r="D211" s="463" t="s">
        <v>1103</v>
      </c>
      <c r="E211" s="422">
        <f>'Тарифные ставки'!$B$5</f>
        <v>137.4825</v>
      </c>
      <c r="F211" s="422">
        <v>0.34</v>
      </c>
      <c r="G211" s="544">
        <f t="shared" si="14"/>
        <v>46.74405</v>
      </c>
      <c r="H211" s="424">
        <f>G211*'Тарифные ставки'!$B$13</f>
        <v>120.59964900000001</v>
      </c>
      <c r="I211" s="424">
        <f>H211*'Тарифные ставки'!$B$14*'Тарифные ставки'!$B$15</f>
        <v>146.166774588</v>
      </c>
      <c r="J211" s="544">
        <f>I211-I211/'Тарифные ставки'!$B$15</f>
        <v>24.361129097999992</v>
      </c>
      <c r="K211" s="544">
        <v>122.27398920000002</v>
      </c>
      <c r="L211" s="424">
        <f t="shared" si="12"/>
        <v>19.54036630711316</v>
      </c>
      <c r="S211" s="361">
        <f t="shared" si="13"/>
        <v>0</v>
      </c>
    </row>
    <row r="212" spans="1:19" ht="31.5">
      <c r="A212" s="136" t="s">
        <v>626</v>
      </c>
      <c r="B212" s="124" t="s">
        <v>627</v>
      </c>
      <c r="C212" s="93" t="s">
        <v>1722</v>
      </c>
      <c r="D212" s="463" t="s">
        <v>1103</v>
      </c>
      <c r="E212" s="422">
        <f>'Тарифные ставки'!$B$5</f>
        <v>137.4825</v>
      </c>
      <c r="F212" s="422">
        <v>0.64</v>
      </c>
      <c r="G212" s="544">
        <f t="shared" si="14"/>
        <v>87.9888</v>
      </c>
      <c r="H212" s="424">
        <f>G212*'Тарифные ставки'!$B$13</f>
        <v>227.011104</v>
      </c>
      <c r="I212" s="424">
        <f>H212*'Тарифные ставки'!$B$14*'Тарифные ставки'!$B$15</f>
        <v>275.137458048</v>
      </c>
      <c r="J212" s="544">
        <f>I212-I212/'Тарифные ставки'!$B$15</f>
        <v>45.85624300799998</v>
      </c>
      <c r="K212" s="544">
        <v>230.16280319999998</v>
      </c>
      <c r="L212" s="424">
        <f t="shared" si="12"/>
        <v>19.540366307113175</v>
      </c>
      <c r="S212" s="361">
        <f t="shared" si="13"/>
        <v>0</v>
      </c>
    </row>
    <row r="213" spans="1:19" ht="31.5">
      <c r="A213" s="136" t="s">
        <v>628</v>
      </c>
      <c r="B213" s="124" t="s">
        <v>629</v>
      </c>
      <c r="C213" s="93" t="s">
        <v>1722</v>
      </c>
      <c r="D213" s="463" t="s">
        <v>1103</v>
      </c>
      <c r="E213" s="422">
        <f>'Тарифные ставки'!$B$5</f>
        <v>137.4825</v>
      </c>
      <c r="F213" s="422">
        <v>0.78</v>
      </c>
      <c r="G213" s="544">
        <f t="shared" si="14"/>
        <v>107.23634999999999</v>
      </c>
      <c r="H213" s="424">
        <f>G213*'Тарифные ставки'!$B$13</f>
        <v>276.669783</v>
      </c>
      <c r="I213" s="424">
        <f>H213*'Тарифные ставки'!$B$14*'Тарифные ставки'!$B$15</f>
        <v>335.323776996</v>
      </c>
      <c r="J213" s="544">
        <f>I213-I213/'Тарифные ставки'!$B$15</f>
        <v>55.887296166</v>
      </c>
      <c r="K213" s="544">
        <v>280.51091640000004</v>
      </c>
      <c r="L213" s="424">
        <f t="shared" si="12"/>
        <v>19.54036630711316</v>
      </c>
      <c r="S213" s="361">
        <f t="shared" si="13"/>
        <v>0</v>
      </c>
    </row>
    <row r="214" spans="1:19" ht="31.5">
      <c r="A214" s="136" t="s">
        <v>630</v>
      </c>
      <c r="B214" s="124" t="s">
        <v>631</v>
      </c>
      <c r="C214" s="93" t="s">
        <v>1230</v>
      </c>
      <c r="D214" s="463" t="s">
        <v>1103</v>
      </c>
      <c r="E214" s="422">
        <f>'Тарифные ставки'!$B$5</f>
        <v>137.4825</v>
      </c>
      <c r="F214" s="422">
        <v>0.6</v>
      </c>
      <c r="G214" s="544">
        <f t="shared" si="14"/>
        <v>82.48949999999999</v>
      </c>
      <c r="H214" s="424">
        <f>G214*'Тарифные ставки'!$B$13</f>
        <v>212.82290999999998</v>
      </c>
      <c r="I214" s="424">
        <f>H214*'Тарифные ставки'!$B$14*'Тарифные ставки'!$B$15</f>
        <v>257.94136691999995</v>
      </c>
      <c r="J214" s="544">
        <f>I214-I214/'Тарифные ставки'!$B$15</f>
        <v>42.99022781999997</v>
      </c>
      <c r="K214" s="544">
        <v>215.77762800000005</v>
      </c>
      <c r="L214" s="424">
        <f t="shared" si="12"/>
        <v>19.540366307113132</v>
      </c>
      <c r="S214" s="361">
        <f t="shared" si="13"/>
        <v>0</v>
      </c>
    </row>
    <row r="215" spans="1:19" ht="15.75">
      <c r="A215" s="136" t="s">
        <v>632</v>
      </c>
      <c r="B215" s="124" t="s">
        <v>633</v>
      </c>
      <c r="C215" s="93" t="s">
        <v>1230</v>
      </c>
      <c r="D215" s="463" t="s">
        <v>1103</v>
      </c>
      <c r="E215" s="422">
        <f>'Тарифные ставки'!$B$5</f>
        <v>137.4825</v>
      </c>
      <c r="F215" s="422">
        <v>0.5</v>
      </c>
      <c r="G215" s="544">
        <f t="shared" si="14"/>
        <v>68.74125</v>
      </c>
      <c r="H215" s="424">
        <f>G215*'Тарифные ставки'!$B$13</f>
        <v>177.35242499999998</v>
      </c>
      <c r="I215" s="424">
        <f>H215*'Тарифные ставки'!$B$14*'Тарифные ставки'!$B$15</f>
        <v>214.95113909999998</v>
      </c>
      <c r="J215" s="544">
        <f>I215-I215/'Тарифные ставки'!$B$15</f>
        <v>35.82518984999999</v>
      </c>
      <c r="K215" s="544">
        <v>179.81469</v>
      </c>
      <c r="L215" s="424">
        <f t="shared" si="12"/>
        <v>19.54036630711316</v>
      </c>
      <c r="S215" s="361">
        <f t="shared" si="13"/>
        <v>0</v>
      </c>
    </row>
    <row r="216" spans="1:19" ht="15.75">
      <c r="A216" s="136" t="s">
        <v>634</v>
      </c>
      <c r="B216" s="124" t="s">
        <v>635</v>
      </c>
      <c r="C216" s="93" t="s">
        <v>1125</v>
      </c>
      <c r="D216" s="463" t="s">
        <v>1103</v>
      </c>
      <c r="E216" s="422">
        <f>'Тарифные ставки'!$B$5</f>
        <v>137.4825</v>
      </c>
      <c r="F216" s="422">
        <v>0.34</v>
      </c>
      <c r="G216" s="544">
        <f t="shared" si="14"/>
        <v>46.74405</v>
      </c>
      <c r="H216" s="424">
        <f>G216*'Тарифные ставки'!$B$13</f>
        <v>120.59964900000001</v>
      </c>
      <c r="I216" s="424">
        <f>H216*'Тарифные ставки'!$B$14*'Тарифные ставки'!$B$15</f>
        <v>146.166774588</v>
      </c>
      <c r="J216" s="544">
        <f>I216-I216/'Тарифные ставки'!$B$15</f>
        <v>24.361129097999992</v>
      </c>
      <c r="K216" s="544">
        <v>122.27398920000002</v>
      </c>
      <c r="L216" s="424">
        <f t="shared" si="12"/>
        <v>19.54036630711316</v>
      </c>
      <c r="S216" s="361">
        <f t="shared" si="13"/>
        <v>0</v>
      </c>
    </row>
    <row r="217" spans="1:19" ht="15.75">
      <c r="A217" s="136" t="s">
        <v>753</v>
      </c>
      <c r="B217" s="124" t="s">
        <v>754</v>
      </c>
      <c r="C217" s="93" t="s">
        <v>1722</v>
      </c>
      <c r="D217" s="463" t="s">
        <v>1103</v>
      </c>
      <c r="E217" s="422">
        <f>'Тарифные ставки'!$B$5</f>
        <v>137.4825</v>
      </c>
      <c r="F217" s="422">
        <v>2.5</v>
      </c>
      <c r="G217" s="544">
        <f t="shared" si="14"/>
        <v>343.70624999999995</v>
      </c>
      <c r="H217" s="424">
        <f>G217*'Тарифные ставки'!$B$13</f>
        <v>886.7621249999999</v>
      </c>
      <c r="I217" s="424">
        <f>H217*'Тарифные ставки'!$B$14*'Тарифные ставки'!$B$15</f>
        <v>1074.7556954999998</v>
      </c>
      <c r="J217" s="544">
        <f>I217-I217/'Тарифные ставки'!$B$15</f>
        <v>179.12594924999996</v>
      </c>
      <c r="K217" s="544">
        <v>899.0734500000002</v>
      </c>
      <c r="L217" s="424">
        <f t="shared" si="12"/>
        <v>19.540366307113118</v>
      </c>
      <c r="S217" s="361">
        <f t="shared" si="13"/>
        <v>0</v>
      </c>
    </row>
    <row r="218" spans="1:19" ht="15.75">
      <c r="A218" s="136" t="s">
        <v>755</v>
      </c>
      <c r="B218" s="124" t="s">
        <v>756</v>
      </c>
      <c r="C218" s="93" t="s">
        <v>1142</v>
      </c>
      <c r="D218" s="463" t="s">
        <v>1103</v>
      </c>
      <c r="E218" s="422">
        <f>'Тарифные ставки'!$B$5</f>
        <v>137.4825</v>
      </c>
      <c r="F218" s="422">
        <v>1.04</v>
      </c>
      <c r="G218" s="544">
        <f t="shared" si="14"/>
        <v>142.9818</v>
      </c>
      <c r="H218" s="424">
        <f>G218*'Тарифные ставки'!$B$13</f>
        <v>368.893044</v>
      </c>
      <c r="I218" s="424">
        <f>H218*'Тарифные ставки'!$B$14*'Тарифные ставки'!$B$15</f>
        <v>447.09836932799993</v>
      </c>
      <c r="J218" s="544">
        <f>I218-I218/'Тарифные ставки'!$B$15</f>
        <v>74.51639488799998</v>
      </c>
      <c r="K218" s="544">
        <v>374.0145552</v>
      </c>
      <c r="L218" s="424">
        <f t="shared" si="12"/>
        <v>19.54036630711316</v>
      </c>
      <c r="S218" s="361">
        <f t="shared" si="13"/>
        <v>0</v>
      </c>
    </row>
    <row r="219" spans="1:19" ht="15.75">
      <c r="A219" s="136" t="s">
        <v>757</v>
      </c>
      <c r="B219" s="124" t="s">
        <v>758</v>
      </c>
      <c r="C219" s="93" t="s">
        <v>1142</v>
      </c>
      <c r="D219" s="463" t="s">
        <v>1103</v>
      </c>
      <c r="E219" s="422">
        <f>'Тарифные ставки'!$B$5</f>
        <v>137.4825</v>
      </c>
      <c r="F219" s="422">
        <v>1.18</v>
      </c>
      <c r="G219" s="544">
        <f t="shared" si="14"/>
        <v>162.22934999999998</v>
      </c>
      <c r="H219" s="424">
        <f>G219*'Тарифные ставки'!$B$13</f>
        <v>418.551723</v>
      </c>
      <c r="I219" s="424">
        <f>H219*'Тарифные ставки'!$B$14*'Тарифные ставки'!$B$15</f>
        <v>507.284688276</v>
      </c>
      <c r="J219" s="544">
        <f>I219-I219/'Тарифные ставки'!$B$15</f>
        <v>84.547448046</v>
      </c>
      <c r="K219" s="544">
        <v>424.3626684</v>
      </c>
      <c r="L219" s="424">
        <f t="shared" si="12"/>
        <v>19.540366307113175</v>
      </c>
      <c r="S219" s="361">
        <f t="shared" si="13"/>
        <v>0</v>
      </c>
    </row>
    <row r="220" spans="1:19" ht="15.75">
      <c r="A220" s="136" t="s">
        <v>759</v>
      </c>
      <c r="B220" s="124" t="s">
        <v>760</v>
      </c>
      <c r="C220" s="93" t="s">
        <v>1142</v>
      </c>
      <c r="D220" s="463" t="s">
        <v>1103</v>
      </c>
      <c r="E220" s="422">
        <f>'Тарифные ставки'!$B$5</f>
        <v>137.4825</v>
      </c>
      <c r="F220" s="422">
        <v>1.02</v>
      </c>
      <c r="G220" s="544">
        <f t="shared" si="14"/>
        <v>140.23215</v>
      </c>
      <c r="H220" s="424">
        <f>G220*'Тарифные ставки'!$B$13</f>
        <v>361.798947</v>
      </c>
      <c r="I220" s="424">
        <f>H220*'Тарифные ставки'!$B$14*'Тарифные ставки'!$B$15</f>
        <v>438.500323764</v>
      </c>
      <c r="J220" s="544">
        <f>I220-I220/'Тарифные ставки'!$B$15</f>
        <v>73.08338729399998</v>
      </c>
      <c r="K220" s="544">
        <v>366.82196760000005</v>
      </c>
      <c r="L220" s="424">
        <f t="shared" si="12"/>
        <v>19.54036630711316</v>
      </c>
      <c r="S220" s="361">
        <f t="shared" si="13"/>
        <v>0</v>
      </c>
    </row>
    <row r="221" spans="1:19" ht="31.5">
      <c r="A221" s="136" t="s">
        <v>761</v>
      </c>
      <c r="B221" s="124" t="s">
        <v>762</v>
      </c>
      <c r="C221" s="93" t="s">
        <v>1768</v>
      </c>
      <c r="D221" s="463" t="s">
        <v>1103</v>
      </c>
      <c r="E221" s="422">
        <f>'Тарифные ставки'!$B$5</f>
        <v>137.4825</v>
      </c>
      <c r="F221" s="422">
        <v>0.68</v>
      </c>
      <c r="G221" s="544">
        <f t="shared" si="14"/>
        <v>93.4881</v>
      </c>
      <c r="H221" s="424">
        <f>G221*'Тарифные ставки'!$B$13</f>
        <v>241.19929800000003</v>
      </c>
      <c r="I221" s="424">
        <f>H221*'Тарифные ставки'!$B$14*'Тарифные ставки'!$B$15</f>
        <v>292.333549176</v>
      </c>
      <c r="J221" s="544">
        <f>I221-I221/'Тарифные ставки'!$B$15</f>
        <v>48.722258195999984</v>
      </c>
      <c r="K221" s="544">
        <v>244.54797840000003</v>
      </c>
      <c r="L221" s="424">
        <f t="shared" si="12"/>
        <v>19.54036630711316</v>
      </c>
      <c r="S221" s="361">
        <f t="shared" si="13"/>
        <v>0</v>
      </c>
    </row>
    <row r="222" spans="1:19" ht="15.75">
      <c r="A222" s="136" t="s">
        <v>763</v>
      </c>
      <c r="B222" s="124" t="s">
        <v>764</v>
      </c>
      <c r="C222" s="93" t="s">
        <v>1768</v>
      </c>
      <c r="D222" s="463" t="s">
        <v>1103</v>
      </c>
      <c r="E222" s="422">
        <f>'Тарифные ставки'!$B$5</f>
        <v>137.4825</v>
      </c>
      <c r="F222" s="422">
        <v>0.54</v>
      </c>
      <c r="G222" s="544">
        <f t="shared" si="14"/>
        <v>74.24055</v>
      </c>
      <c r="H222" s="424">
        <f>G222*'Тарифные ставки'!$B$13</f>
        <v>191.540619</v>
      </c>
      <c r="I222" s="424">
        <f>H222*'Тарифные ставки'!$B$14*'Тарифные ставки'!$B$15</f>
        <v>232.14723022799998</v>
      </c>
      <c r="J222" s="544">
        <f>I222-I222/'Тарифные ставки'!$B$15</f>
        <v>38.69120503799999</v>
      </c>
      <c r="K222" s="544">
        <v>194.19986520000003</v>
      </c>
      <c r="L222" s="424">
        <f t="shared" si="12"/>
        <v>19.54036630711316</v>
      </c>
      <c r="S222" s="361">
        <f t="shared" si="13"/>
        <v>0</v>
      </c>
    </row>
    <row r="223" spans="1:19" ht="31.5">
      <c r="A223" s="136" t="s">
        <v>765</v>
      </c>
      <c r="B223" s="124" t="s">
        <v>766</v>
      </c>
      <c r="C223" s="93" t="s">
        <v>1764</v>
      </c>
      <c r="D223" s="463" t="s">
        <v>1103</v>
      </c>
      <c r="E223" s="422">
        <f>'Тарифные ставки'!$B$5</f>
        <v>137.4825</v>
      </c>
      <c r="F223" s="422">
        <v>1.44</v>
      </c>
      <c r="G223" s="544">
        <f t="shared" si="14"/>
        <v>197.9748</v>
      </c>
      <c r="H223" s="424">
        <f>G223*'Тарифные ставки'!$B$13</f>
        <v>510.77498399999996</v>
      </c>
      <c r="I223" s="424">
        <f>H223*'Тарифные ставки'!$B$14*'Тарифные ставки'!$B$15</f>
        <v>619.059280608</v>
      </c>
      <c r="J223" s="544">
        <f>I223-I223/'Тарифные ставки'!$B$15</f>
        <v>103.17654676799998</v>
      </c>
      <c r="K223" s="544">
        <v>517.8663071999999</v>
      </c>
      <c r="L223" s="424">
        <f t="shared" si="12"/>
        <v>19.540366307113175</v>
      </c>
      <c r="S223" s="361">
        <f t="shared" si="13"/>
        <v>0</v>
      </c>
    </row>
    <row r="224" spans="1:19" ht="15.75">
      <c r="A224" s="136" t="s">
        <v>767</v>
      </c>
      <c r="B224" s="124" t="s">
        <v>768</v>
      </c>
      <c r="C224" s="93" t="s">
        <v>1764</v>
      </c>
      <c r="D224" s="463" t="s">
        <v>1103</v>
      </c>
      <c r="E224" s="422">
        <f>'Тарифные ставки'!$B$5</f>
        <v>137.4825</v>
      </c>
      <c r="F224" s="422">
        <v>0.66</v>
      </c>
      <c r="G224" s="544">
        <f t="shared" si="14"/>
        <v>90.73845</v>
      </c>
      <c r="H224" s="424">
        <f>G224*'Тарифные ставки'!$B$13</f>
        <v>234.105201</v>
      </c>
      <c r="I224" s="424">
        <f>H224*'Тарифные ставки'!$B$14*'Тарифные ставки'!$B$15</f>
        <v>283.735503612</v>
      </c>
      <c r="J224" s="544">
        <f>I224-I224/'Тарифные ставки'!$B$15</f>
        <v>47.28925060199998</v>
      </c>
      <c r="K224" s="544">
        <v>237.3553908</v>
      </c>
      <c r="L224" s="424">
        <f t="shared" si="12"/>
        <v>19.540366307113175</v>
      </c>
      <c r="S224" s="361">
        <f t="shared" si="13"/>
        <v>0</v>
      </c>
    </row>
    <row r="225" spans="1:19" ht="15.75">
      <c r="A225" s="136" t="s">
        <v>769</v>
      </c>
      <c r="B225" s="124" t="s">
        <v>770</v>
      </c>
      <c r="C225" s="93" t="s">
        <v>1162</v>
      </c>
      <c r="D225" s="463" t="s">
        <v>1103</v>
      </c>
      <c r="E225" s="422">
        <f>'Тарифные ставки'!$B$5</f>
        <v>137.4825</v>
      </c>
      <c r="F225" s="422">
        <v>0.32</v>
      </c>
      <c r="G225" s="544">
        <f t="shared" si="14"/>
        <v>43.9944</v>
      </c>
      <c r="H225" s="424">
        <f>G225*'Тарифные ставки'!$B$13</f>
        <v>113.505552</v>
      </c>
      <c r="I225" s="424">
        <f>H225*'Тарифные ставки'!$B$14*'Тарифные ставки'!$B$15</f>
        <v>137.568729024</v>
      </c>
      <c r="J225" s="544">
        <f>I225-I225/'Тарифные ставки'!$B$15</f>
        <v>22.92812150399999</v>
      </c>
      <c r="K225" s="544">
        <v>115.08140159999999</v>
      </c>
      <c r="L225" s="424">
        <f t="shared" si="12"/>
        <v>19.540366307113175</v>
      </c>
      <c r="S225" s="361">
        <f t="shared" si="13"/>
        <v>0</v>
      </c>
    </row>
    <row r="226" spans="1:19" ht="15.75">
      <c r="A226" s="136" t="s">
        <v>771</v>
      </c>
      <c r="B226" s="124" t="s">
        <v>772</v>
      </c>
      <c r="C226" s="93" t="s">
        <v>1134</v>
      </c>
      <c r="D226" s="463" t="s">
        <v>1103</v>
      </c>
      <c r="E226" s="422">
        <f>'Тарифные ставки'!$B$5</f>
        <v>137.4825</v>
      </c>
      <c r="F226" s="422">
        <v>0.5</v>
      </c>
      <c r="G226" s="544">
        <f t="shared" si="14"/>
        <v>68.74125</v>
      </c>
      <c r="H226" s="424">
        <f>G226*'Тарифные ставки'!$B$13</f>
        <v>177.35242499999998</v>
      </c>
      <c r="I226" s="424">
        <f>H226*'Тарифные ставки'!$B$14*'Тарифные ставки'!$B$15</f>
        <v>214.95113909999998</v>
      </c>
      <c r="J226" s="544">
        <f>I226-I226/'Тарифные ставки'!$B$15</f>
        <v>35.82518984999999</v>
      </c>
      <c r="K226" s="544">
        <v>179.81469</v>
      </c>
      <c r="L226" s="424">
        <f t="shared" si="12"/>
        <v>19.54036630711316</v>
      </c>
      <c r="S226" s="361">
        <f t="shared" si="13"/>
        <v>0</v>
      </c>
    </row>
    <row r="227" spans="1:19" ht="15.75">
      <c r="A227" s="136" t="s">
        <v>773</v>
      </c>
      <c r="B227" s="124" t="s">
        <v>2206</v>
      </c>
      <c r="C227" s="93" t="s">
        <v>1718</v>
      </c>
      <c r="D227" s="463" t="s">
        <v>1103</v>
      </c>
      <c r="E227" s="422">
        <f>'Тарифные ставки'!$B$5</f>
        <v>137.4825</v>
      </c>
      <c r="F227" s="422">
        <v>0.33</v>
      </c>
      <c r="G227" s="544">
        <f t="shared" si="14"/>
        <v>45.369225</v>
      </c>
      <c r="H227" s="424">
        <f>G227*'Тарифные ставки'!$B$13</f>
        <v>117.0526005</v>
      </c>
      <c r="I227" s="424">
        <f>H227*'Тарифные ставки'!$B$14*'Тарифные ставки'!$B$15</f>
        <v>141.867751806</v>
      </c>
      <c r="J227" s="544">
        <f>I227-I227/'Тарифные ставки'!$B$15</f>
        <v>23.64462530099999</v>
      </c>
      <c r="K227" s="544">
        <v>118.6776954</v>
      </c>
      <c r="L227" s="424">
        <f t="shared" si="12"/>
        <v>19.540366307113175</v>
      </c>
      <c r="S227" s="361">
        <f t="shared" si="13"/>
        <v>0</v>
      </c>
    </row>
    <row r="228" spans="1:19" ht="15.75">
      <c r="A228" s="136" t="s">
        <v>774</v>
      </c>
      <c r="B228" s="124" t="s">
        <v>775</v>
      </c>
      <c r="C228" s="93" t="s">
        <v>1125</v>
      </c>
      <c r="D228" s="463" t="s">
        <v>1103</v>
      </c>
      <c r="E228" s="422">
        <f>'Тарифные ставки'!$B$5</f>
        <v>137.4825</v>
      </c>
      <c r="F228" s="422">
        <v>0.65</v>
      </c>
      <c r="G228" s="544">
        <f aca="true" t="shared" si="15" ref="G228:G264">E228*F228</f>
        <v>89.363625</v>
      </c>
      <c r="H228" s="424">
        <f>G228*'Тарифные ставки'!$B$13</f>
        <v>230.5581525</v>
      </c>
      <c r="I228" s="424">
        <f>H228*'Тарифные ставки'!$B$14*'Тарифные ставки'!$B$15</f>
        <v>279.43648083</v>
      </c>
      <c r="J228" s="544">
        <f>I228-I228/'Тарифные ставки'!$B$15</f>
        <v>46.57274680499998</v>
      </c>
      <c r="K228" s="544">
        <v>233.759097</v>
      </c>
      <c r="L228" s="424">
        <f t="shared" si="12"/>
        <v>19.540366307113175</v>
      </c>
      <c r="S228" s="361">
        <f t="shared" si="13"/>
        <v>0</v>
      </c>
    </row>
    <row r="229" spans="1:19" ht="15.75">
      <c r="A229" s="136" t="s">
        <v>776</v>
      </c>
      <c r="B229" s="124" t="s">
        <v>777</v>
      </c>
      <c r="C229" s="93" t="s">
        <v>1164</v>
      </c>
      <c r="D229" s="463" t="s">
        <v>1103</v>
      </c>
      <c r="E229" s="422">
        <f>'Тарифные ставки'!$B$5</f>
        <v>137.4825</v>
      </c>
      <c r="F229" s="422">
        <v>0.33</v>
      </c>
      <c r="G229" s="544">
        <f t="shared" si="15"/>
        <v>45.369225</v>
      </c>
      <c r="H229" s="424">
        <f>G229*'Тарифные ставки'!$B$13</f>
        <v>117.0526005</v>
      </c>
      <c r="I229" s="424">
        <f>H229*'Тарифные ставки'!$B$14*'Тарифные ставки'!$B$15</f>
        <v>141.867751806</v>
      </c>
      <c r="J229" s="544">
        <f>I229-I229/'Тарифные ставки'!$B$15</f>
        <v>23.64462530099999</v>
      </c>
      <c r="K229" s="544">
        <v>118.6776954</v>
      </c>
      <c r="L229" s="424">
        <f t="shared" si="12"/>
        <v>19.540366307113175</v>
      </c>
      <c r="S229" s="361">
        <f t="shared" si="13"/>
        <v>0</v>
      </c>
    </row>
    <row r="230" spans="1:19" ht="15.75">
      <c r="A230" s="136" t="s">
        <v>778</v>
      </c>
      <c r="B230" s="124" t="s">
        <v>779</v>
      </c>
      <c r="C230" s="93" t="s">
        <v>1677</v>
      </c>
      <c r="D230" s="463" t="s">
        <v>1103</v>
      </c>
      <c r="E230" s="422">
        <f>'Тарифные ставки'!$B$5</f>
        <v>137.4825</v>
      </c>
      <c r="F230" s="422">
        <v>1.33</v>
      </c>
      <c r="G230" s="544">
        <f t="shared" si="15"/>
        <v>182.851725</v>
      </c>
      <c r="H230" s="424">
        <f>G230*'Тарифные ставки'!$B$13</f>
        <v>471.7574505</v>
      </c>
      <c r="I230" s="424">
        <f>H230*'Тарифные ставки'!$B$14*'Тарифные ставки'!$B$15</f>
        <v>571.770030006</v>
      </c>
      <c r="J230" s="544">
        <f>I230-I230/'Тарифные ставки'!$B$15</f>
        <v>95.29500500099999</v>
      </c>
      <c r="K230" s="544">
        <v>478.30707540000003</v>
      </c>
      <c r="L230" s="424">
        <f t="shared" si="12"/>
        <v>19.54036630711316</v>
      </c>
      <c r="S230" s="361">
        <f t="shared" si="13"/>
        <v>0</v>
      </c>
    </row>
    <row r="231" spans="1:19" ht="15.75">
      <c r="A231" s="136" t="s">
        <v>780</v>
      </c>
      <c r="B231" s="124" t="s">
        <v>781</v>
      </c>
      <c r="C231" s="93" t="s">
        <v>1165</v>
      </c>
      <c r="D231" s="463" t="s">
        <v>1103</v>
      </c>
      <c r="E231" s="422">
        <f>'Тарифные ставки'!$B$5</f>
        <v>137.4825</v>
      </c>
      <c r="F231" s="422">
        <v>1.42</v>
      </c>
      <c r="G231" s="544">
        <f t="shared" si="15"/>
        <v>195.22514999999999</v>
      </c>
      <c r="H231" s="424">
        <f>G231*'Тарифные ставки'!$B$13</f>
        <v>503.680887</v>
      </c>
      <c r="I231" s="424">
        <f>H231*'Тарифные ставки'!$B$14*'Тарифные ставки'!$B$15</f>
        <v>610.461235044</v>
      </c>
      <c r="J231" s="544">
        <f>I231-I231/'Тарифные ставки'!$B$15</f>
        <v>101.74353917399998</v>
      </c>
      <c r="K231" s="544">
        <v>510.6737196</v>
      </c>
      <c r="L231" s="424">
        <f t="shared" si="12"/>
        <v>19.54036630711316</v>
      </c>
      <c r="S231" s="361">
        <f t="shared" si="13"/>
        <v>0</v>
      </c>
    </row>
    <row r="232" spans="1:19" ht="15.75">
      <c r="A232" s="136" t="s">
        <v>782</v>
      </c>
      <c r="B232" s="124" t="s">
        <v>783</v>
      </c>
      <c r="C232" s="93" t="s">
        <v>804</v>
      </c>
      <c r="D232" s="463" t="s">
        <v>1103</v>
      </c>
      <c r="E232" s="422">
        <f>'Тарифные ставки'!$B$5</f>
        <v>137.4825</v>
      </c>
      <c r="F232" s="422">
        <v>0.6</v>
      </c>
      <c r="G232" s="544">
        <f t="shared" si="15"/>
        <v>82.48949999999999</v>
      </c>
      <c r="H232" s="424">
        <f>G232*'Тарифные ставки'!$B$13</f>
        <v>212.82290999999998</v>
      </c>
      <c r="I232" s="424">
        <f>H232*'Тарифные ставки'!$B$14*'Тарифные ставки'!$B$15</f>
        <v>257.94136691999995</v>
      </c>
      <c r="J232" s="544">
        <f>I232-I232/'Тарифные ставки'!$B$15</f>
        <v>42.99022781999997</v>
      </c>
      <c r="K232" s="544">
        <v>215.77762800000005</v>
      </c>
      <c r="L232" s="424">
        <f t="shared" si="12"/>
        <v>19.540366307113132</v>
      </c>
      <c r="S232" s="361">
        <f t="shared" si="13"/>
        <v>0</v>
      </c>
    </row>
    <row r="233" spans="1:19" ht="15.75">
      <c r="A233" s="136" t="s">
        <v>784</v>
      </c>
      <c r="B233" s="124" t="s">
        <v>785</v>
      </c>
      <c r="C233" s="93" t="s">
        <v>806</v>
      </c>
      <c r="D233" s="463" t="s">
        <v>1103</v>
      </c>
      <c r="E233" s="422">
        <f>'Тарифные ставки'!$B$5</f>
        <v>137.4825</v>
      </c>
      <c r="F233" s="422">
        <v>0.86</v>
      </c>
      <c r="G233" s="544">
        <f t="shared" si="15"/>
        <v>118.23494999999998</v>
      </c>
      <c r="H233" s="424">
        <f>G233*'Тарифные ставки'!$B$13</f>
        <v>305.04617099999996</v>
      </c>
      <c r="I233" s="424">
        <f>H233*'Тарифные ставки'!$B$14*'Тарифные ставки'!$B$15</f>
        <v>369.7159592519999</v>
      </c>
      <c r="J233" s="544">
        <f>I233-I233/'Тарифные ставки'!$B$15</f>
        <v>61.61932654199995</v>
      </c>
      <c r="K233" s="544">
        <v>309.2812668</v>
      </c>
      <c r="L233" s="424">
        <f t="shared" si="12"/>
        <v>19.540366307113132</v>
      </c>
      <c r="S233" s="361">
        <f t="shared" si="13"/>
        <v>0</v>
      </c>
    </row>
    <row r="234" spans="1:19" ht="18.75" customHeight="1">
      <c r="A234" s="136" t="s">
        <v>786</v>
      </c>
      <c r="B234" s="124" t="s">
        <v>787</v>
      </c>
      <c r="C234" s="93" t="s">
        <v>1134</v>
      </c>
      <c r="D234" s="463" t="s">
        <v>1103</v>
      </c>
      <c r="E234" s="422">
        <f>'Тарифные ставки'!$B$5</f>
        <v>137.4825</v>
      </c>
      <c r="F234" s="422">
        <v>1</v>
      </c>
      <c r="G234" s="544">
        <f t="shared" si="15"/>
        <v>137.4825</v>
      </c>
      <c r="H234" s="424">
        <f>G234*'Тарифные ставки'!$B$13</f>
        <v>354.70484999999996</v>
      </c>
      <c r="I234" s="424">
        <f>H234*'Тарифные ставки'!$B$14*'Тарифные ставки'!$B$15</f>
        <v>429.90227819999996</v>
      </c>
      <c r="J234" s="544">
        <f>I234-I234/'Тарифные ставки'!$B$15</f>
        <v>71.65037969999997</v>
      </c>
      <c r="K234" s="544">
        <v>359.62938</v>
      </c>
      <c r="L234" s="424">
        <f t="shared" si="12"/>
        <v>19.54036630711316</v>
      </c>
      <c r="S234" s="361">
        <f t="shared" si="13"/>
        <v>0</v>
      </c>
    </row>
    <row r="235" spans="1:19" ht="15.75">
      <c r="A235" s="136" t="s">
        <v>788</v>
      </c>
      <c r="B235" s="124" t="s">
        <v>789</v>
      </c>
      <c r="C235" s="93" t="s">
        <v>1416</v>
      </c>
      <c r="D235" s="463" t="s">
        <v>1103</v>
      </c>
      <c r="E235" s="422">
        <f>'Тарифные ставки'!$B$5</f>
        <v>137.4825</v>
      </c>
      <c r="F235" s="422">
        <v>1.5</v>
      </c>
      <c r="G235" s="544">
        <f t="shared" si="15"/>
        <v>206.22375</v>
      </c>
      <c r="H235" s="424">
        <f>G235*'Тарифные ставки'!$B$13</f>
        <v>532.057275</v>
      </c>
      <c r="I235" s="424">
        <f>H235*'Тарифные ставки'!$B$14*'Тарифные ставки'!$B$15</f>
        <v>644.8534172999999</v>
      </c>
      <c r="J235" s="544">
        <f>I235-I235/'Тарифные ставки'!$B$15</f>
        <v>107.47556954999993</v>
      </c>
      <c r="K235" s="544">
        <v>539.44407</v>
      </c>
      <c r="L235" s="424">
        <f t="shared" si="12"/>
        <v>19.54036630711316</v>
      </c>
      <c r="S235" s="361">
        <f t="shared" si="13"/>
        <v>0</v>
      </c>
    </row>
    <row r="236" spans="1:19" ht="15.75">
      <c r="A236" s="136" t="s">
        <v>790</v>
      </c>
      <c r="B236" s="124" t="s">
        <v>791</v>
      </c>
      <c r="C236" s="93" t="s">
        <v>725</v>
      </c>
      <c r="D236" s="463" t="s">
        <v>1103</v>
      </c>
      <c r="E236" s="422">
        <f>'Тарифные ставки'!$B$5</f>
        <v>137.4825</v>
      </c>
      <c r="F236" s="422">
        <v>1.7</v>
      </c>
      <c r="G236" s="544">
        <f t="shared" si="15"/>
        <v>233.72024999999996</v>
      </c>
      <c r="H236" s="424">
        <f>G236*'Тарифные ставки'!$B$13</f>
        <v>602.9982449999999</v>
      </c>
      <c r="I236" s="424">
        <f>H236*'Тарифные ставки'!$B$14*'Тарифные ставки'!$B$15</f>
        <v>730.8338729399999</v>
      </c>
      <c r="J236" s="544">
        <f>I236-I236/'Тарифные ставки'!$B$15</f>
        <v>121.80564548999996</v>
      </c>
      <c r="K236" s="544">
        <v>611.369946</v>
      </c>
      <c r="L236" s="424">
        <f t="shared" si="12"/>
        <v>19.54036630711316</v>
      </c>
      <c r="S236" s="361">
        <f t="shared" si="13"/>
        <v>0</v>
      </c>
    </row>
    <row r="237" spans="1:19" ht="15.75">
      <c r="A237" s="136" t="s">
        <v>792</v>
      </c>
      <c r="B237" s="124" t="s">
        <v>20</v>
      </c>
      <c r="C237" s="93" t="s">
        <v>725</v>
      </c>
      <c r="D237" s="463" t="s">
        <v>1103</v>
      </c>
      <c r="E237" s="422">
        <f>'Тарифные ставки'!$B$5</f>
        <v>137.4825</v>
      </c>
      <c r="F237" s="422">
        <v>1.3</v>
      </c>
      <c r="G237" s="544">
        <f t="shared" si="15"/>
        <v>178.72725</v>
      </c>
      <c r="H237" s="424">
        <f>G237*'Тарифные ставки'!$B$13</f>
        <v>461.116305</v>
      </c>
      <c r="I237" s="424">
        <f>H237*'Тарифные ставки'!$B$14*'Тарифные ставки'!$B$15</f>
        <v>558.87296166</v>
      </c>
      <c r="J237" s="544">
        <f>I237-I237/'Тарифные ставки'!$B$15</f>
        <v>93.14549360999996</v>
      </c>
      <c r="K237" s="544">
        <v>467.518194</v>
      </c>
      <c r="L237" s="424">
        <f t="shared" si="12"/>
        <v>19.540366307113175</v>
      </c>
      <c r="S237" s="361">
        <f t="shared" si="13"/>
        <v>0</v>
      </c>
    </row>
    <row r="238" spans="1:19" ht="15.75">
      <c r="A238" s="136" t="s">
        <v>2095</v>
      </c>
      <c r="B238" s="124" t="s">
        <v>21</v>
      </c>
      <c r="C238" s="93" t="s">
        <v>1416</v>
      </c>
      <c r="D238" s="463" t="s">
        <v>1103</v>
      </c>
      <c r="E238" s="422">
        <f>'Тарифные ставки'!$B$5</f>
        <v>137.4825</v>
      </c>
      <c r="F238" s="422">
        <v>0.33</v>
      </c>
      <c r="G238" s="544">
        <f t="shared" si="15"/>
        <v>45.369225</v>
      </c>
      <c r="H238" s="424">
        <f>G238*'Тарифные ставки'!$B$13</f>
        <v>117.0526005</v>
      </c>
      <c r="I238" s="424">
        <f>H238*'Тарифные ставки'!$B$14*'Тарифные ставки'!$B$15</f>
        <v>141.867751806</v>
      </c>
      <c r="J238" s="544">
        <f>I238-I238/'Тарифные ставки'!$B$15</f>
        <v>23.64462530099999</v>
      </c>
      <c r="K238" s="544">
        <v>118.6776954</v>
      </c>
      <c r="L238" s="424">
        <f t="shared" si="12"/>
        <v>19.540366307113175</v>
      </c>
      <c r="S238" s="361">
        <f t="shared" si="13"/>
        <v>0</v>
      </c>
    </row>
    <row r="239" spans="1:19" ht="31.5">
      <c r="A239" s="136" t="s">
        <v>22</v>
      </c>
      <c r="B239" s="124" t="s">
        <v>23</v>
      </c>
      <c r="C239" s="93" t="s">
        <v>1416</v>
      </c>
      <c r="D239" s="463" t="s">
        <v>1103</v>
      </c>
      <c r="E239" s="422">
        <f>'Тарифные ставки'!$B$5</f>
        <v>137.4825</v>
      </c>
      <c r="F239" s="422">
        <v>1.5</v>
      </c>
      <c r="G239" s="544">
        <f t="shared" si="15"/>
        <v>206.22375</v>
      </c>
      <c r="H239" s="424">
        <f>G239*'Тарифные ставки'!$B$13</f>
        <v>532.057275</v>
      </c>
      <c r="I239" s="424">
        <f>H239*'Тарифные ставки'!$B$14*'Тарифные ставки'!$B$15</f>
        <v>644.8534172999999</v>
      </c>
      <c r="J239" s="544">
        <f>I239-I239/'Тарифные ставки'!$B$15</f>
        <v>107.47556954999993</v>
      </c>
      <c r="K239" s="544">
        <v>539.44407</v>
      </c>
      <c r="L239" s="424">
        <f t="shared" si="12"/>
        <v>19.54036630711316</v>
      </c>
      <c r="S239" s="361">
        <f t="shared" si="13"/>
        <v>0</v>
      </c>
    </row>
    <row r="240" spans="1:19" ht="31.5">
      <c r="A240" s="136" t="s">
        <v>24</v>
      </c>
      <c r="B240" s="124" t="s">
        <v>25</v>
      </c>
      <c r="C240" s="93" t="s">
        <v>1416</v>
      </c>
      <c r="D240" s="463" t="s">
        <v>1103</v>
      </c>
      <c r="E240" s="422">
        <f>'Тарифные ставки'!$B$5</f>
        <v>137.4825</v>
      </c>
      <c r="F240" s="422">
        <v>0.5</v>
      </c>
      <c r="G240" s="544">
        <f t="shared" si="15"/>
        <v>68.74125</v>
      </c>
      <c r="H240" s="424">
        <f>G240*'Тарифные ставки'!$B$13</f>
        <v>177.35242499999998</v>
      </c>
      <c r="I240" s="424">
        <f>H240*'Тарифные ставки'!$B$14*'Тарифные ставки'!$B$15</f>
        <v>214.95113909999998</v>
      </c>
      <c r="J240" s="544">
        <f>I240-I240/'Тарифные ставки'!$B$15</f>
        <v>35.82518984999999</v>
      </c>
      <c r="K240" s="544">
        <v>179.81469</v>
      </c>
      <c r="L240" s="424">
        <f t="shared" si="12"/>
        <v>19.54036630711316</v>
      </c>
      <c r="S240" s="361">
        <f t="shared" si="13"/>
        <v>0</v>
      </c>
    </row>
    <row r="241" spans="1:19" ht="15.75">
      <c r="A241" s="136" t="s">
        <v>26</v>
      </c>
      <c r="B241" s="124" t="s">
        <v>27</v>
      </c>
      <c r="C241" s="93" t="s">
        <v>1416</v>
      </c>
      <c r="D241" s="463" t="s">
        <v>1103</v>
      </c>
      <c r="E241" s="422">
        <f>'Тарифные ставки'!$B$5</f>
        <v>137.4825</v>
      </c>
      <c r="F241" s="422">
        <v>0.33</v>
      </c>
      <c r="G241" s="544">
        <f t="shared" si="15"/>
        <v>45.369225</v>
      </c>
      <c r="H241" s="424">
        <f>G241*'Тарифные ставки'!$B$13</f>
        <v>117.0526005</v>
      </c>
      <c r="I241" s="424">
        <f>H241*'Тарифные ставки'!$B$14*'Тарифные ставки'!$B$15</f>
        <v>141.867751806</v>
      </c>
      <c r="J241" s="544">
        <f>I241-I241/'Тарифные ставки'!$B$15</f>
        <v>23.64462530099999</v>
      </c>
      <c r="K241" s="544">
        <v>118.6776954</v>
      </c>
      <c r="L241" s="424">
        <f t="shared" si="12"/>
        <v>19.540366307113175</v>
      </c>
      <c r="S241" s="361">
        <f t="shared" si="13"/>
        <v>0</v>
      </c>
    </row>
    <row r="242" spans="1:19" ht="63">
      <c r="A242" s="459" t="s">
        <v>83</v>
      </c>
      <c r="B242" s="371" t="s">
        <v>82</v>
      </c>
      <c r="C242" s="371" t="s">
        <v>77</v>
      </c>
      <c r="D242" s="371" t="s">
        <v>81</v>
      </c>
      <c r="E242" s="388" t="s">
        <v>85</v>
      </c>
      <c r="F242" s="477" t="s">
        <v>78</v>
      </c>
      <c r="G242" s="477" t="s">
        <v>79</v>
      </c>
      <c r="H242" s="477" t="s">
        <v>80</v>
      </c>
      <c r="I242" s="382" t="s">
        <v>843</v>
      </c>
      <c r="J242" s="382" t="s">
        <v>2349</v>
      </c>
      <c r="K242" s="535"/>
      <c r="L242" s="538"/>
      <c r="S242" s="361"/>
    </row>
    <row r="243" spans="1:19" ht="15.75">
      <c r="A243" s="136" t="s">
        <v>28</v>
      </c>
      <c r="B243" s="582" t="s">
        <v>29</v>
      </c>
      <c r="C243" s="93" t="s">
        <v>1416</v>
      </c>
      <c r="D243" s="463" t="s">
        <v>1103</v>
      </c>
      <c r="E243" s="422">
        <f>'Тарифные ставки'!$B$5</f>
        <v>137.4825</v>
      </c>
      <c r="F243" s="422">
        <v>1.5</v>
      </c>
      <c r="G243" s="544">
        <f t="shared" si="15"/>
        <v>206.22375</v>
      </c>
      <c r="H243" s="424">
        <f>G243*'Тарифные ставки'!$B$13</f>
        <v>532.057275</v>
      </c>
      <c r="I243" s="424">
        <f>H243*'Тарифные ставки'!$B$14*'Тарифные ставки'!$B$15</f>
        <v>644.8534172999999</v>
      </c>
      <c r="J243" s="544">
        <f>I243-I243/'Тарифные ставки'!$B$15</f>
        <v>107.47556954999993</v>
      </c>
      <c r="K243" s="544">
        <v>539.44407</v>
      </c>
      <c r="L243" s="424">
        <f t="shared" si="12"/>
        <v>19.54036630711316</v>
      </c>
      <c r="S243" s="361">
        <f t="shared" si="13"/>
        <v>0</v>
      </c>
    </row>
    <row r="244" spans="1:19" ht="15.75">
      <c r="A244" s="136" t="s">
        <v>2096</v>
      </c>
      <c r="B244" s="124" t="s">
        <v>30</v>
      </c>
      <c r="C244" s="93" t="s">
        <v>1416</v>
      </c>
      <c r="D244" s="463" t="s">
        <v>1103</v>
      </c>
      <c r="E244" s="422">
        <f>'Тарифные ставки'!$B$5</f>
        <v>137.4825</v>
      </c>
      <c r="F244" s="422">
        <v>1.03</v>
      </c>
      <c r="G244" s="544">
        <f t="shared" si="15"/>
        <v>141.60697499999998</v>
      </c>
      <c r="H244" s="424">
        <f>G244*'Тарифные ставки'!$B$13</f>
        <v>365.34599549999996</v>
      </c>
      <c r="I244" s="424">
        <f>H244*'Тарифные ставки'!$B$14*'Тарифные ставки'!$B$15</f>
        <v>442.799346546</v>
      </c>
      <c r="J244" s="544">
        <f>I244-I244/'Тарифные ставки'!$B$15</f>
        <v>73.799891091</v>
      </c>
      <c r="K244" s="544">
        <v>370.41826140000006</v>
      </c>
      <c r="L244" s="424">
        <f t="shared" si="12"/>
        <v>19.54036630711316</v>
      </c>
      <c r="S244" s="361">
        <f t="shared" si="13"/>
        <v>0</v>
      </c>
    </row>
    <row r="245" spans="1:19" ht="15.75">
      <c r="A245" s="136" t="s">
        <v>2097</v>
      </c>
      <c r="B245" s="124" t="s">
        <v>31</v>
      </c>
      <c r="C245" s="93" t="s">
        <v>1416</v>
      </c>
      <c r="D245" s="463" t="s">
        <v>1103</v>
      </c>
      <c r="E245" s="422">
        <f>'Тарифные ставки'!$B$5</f>
        <v>137.4825</v>
      </c>
      <c r="F245" s="422">
        <v>0.3</v>
      </c>
      <c r="G245" s="544">
        <f t="shared" si="15"/>
        <v>41.244749999999996</v>
      </c>
      <c r="H245" s="424">
        <f>G245*'Тарифные ставки'!$B$13</f>
        <v>106.41145499999999</v>
      </c>
      <c r="I245" s="424">
        <f>H245*'Тарифные ставки'!$B$14*'Тарифные ставки'!$B$15</f>
        <v>128.97068345999998</v>
      </c>
      <c r="J245" s="544">
        <f>I245-I245/'Тарифные ставки'!$B$15</f>
        <v>21.495113909999986</v>
      </c>
      <c r="K245" s="544">
        <v>107.88881400000002</v>
      </c>
      <c r="L245" s="424">
        <f t="shared" si="12"/>
        <v>19.540366307113132</v>
      </c>
      <c r="S245" s="361">
        <f t="shared" si="13"/>
        <v>0</v>
      </c>
    </row>
    <row r="246" spans="1:19" ht="15.75">
      <c r="A246" s="136" t="s">
        <v>2098</v>
      </c>
      <c r="B246" s="124" t="s">
        <v>32</v>
      </c>
      <c r="C246" s="93" t="s">
        <v>1416</v>
      </c>
      <c r="D246" s="463" t="s">
        <v>1103</v>
      </c>
      <c r="E246" s="422">
        <f>'Тарифные ставки'!$B$5</f>
        <v>137.4825</v>
      </c>
      <c r="F246" s="422">
        <v>0.64</v>
      </c>
      <c r="G246" s="544">
        <f t="shared" si="15"/>
        <v>87.9888</v>
      </c>
      <c r="H246" s="424">
        <f>G246*'Тарифные ставки'!$B$13</f>
        <v>227.011104</v>
      </c>
      <c r="I246" s="424">
        <f>H246*'Тарифные ставки'!$B$14*'Тарифные ставки'!$B$15</f>
        <v>275.137458048</v>
      </c>
      <c r="J246" s="544">
        <f>I246-I246/'Тарифные ставки'!$B$15</f>
        <v>45.85624300799998</v>
      </c>
      <c r="K246" s="544">
        <v>230.16280319999998</v>
      </c>
      <c r="L246" s="424">
        <f t="shared" si="12"/>
        <v>19.540366307113175</v>
      </c>
      <c r="S246" s="361">
        <f t="shared" si="13"/>
        <v>0</v>
      </c>
    </row>
    <row r="247" spans="1:19" ht="15.75">
      <c r="A247" s="136" t="s">
        <v>2099</v>
      </c>
      <c r="B247" s="124" t="s">
        <v>2486</v>
      </c>
      <c r="C247" s="93" t="s">
        <v>1416</v>
      </c>
      <c r="D247" s="463" t="s">
        <v>1103</v>
      </c>
      <c r="E247" s="422">
        <f>'Тарифные ставки'!$B$5</f>
        <v>137.4825</v>
      </c>
      <c r="F247" s="422">
        <v>0.21</v>
      </c>
      <c r="G247" s="544">
        <f t="shared" si="15"/>
        <v>28.871324999999995</v>
      </c>
      <c r="H247" s="424">
        <f>G247*'Тарифные ставки'!$B$13</f>
        <v>74.4880185</v>
      </c>
      <c r="I247" s="424">
        <f>H247*'Тарифные ставки'!$B$14*'Тарифные ставки'!$B$15</f>
        <v>90.279478422</v>
      </c>
      <c r="J247" s="544">
        <f>I247-I247/'Тарифные ставки'!$B$15</f>
        <v>15.046579737000002</v>
      </c>
      <c r="K247" s="544">
        <v>75.5221698</v>
      </c>
      <c r="L247" s="424">
        <f t="shared" si="12"/>
        <v>19.540366307113175</v>
      </c>
      <c r="S247" s="361">
        <f t="shared" si="13"/>
        <v>0</v>
      </c>
    </row>
    <row r="248" spans="1:19" ht="15.75">
      <c r="A248" s="136" t="s">
        <v>2100</v>
      </c>
      <c r="B248" s="124" t="s">
        <v>33</v>
      </c>
      <c r="C248" s="93" t="s">
        <v>1416</v>
      </c>
      <c r="D248" s="463" t="s">
        <v>1103</v>
      </c>
      <c r="E248" s="422">
        <f>'Тарифные ставки'!$B$5</f>
        <v>137.4825</v>
      </c>
      <c r="F248" s="422">
        <v>0.6</v>
      </c>
      <c r="G248" s="544">
        <f>E248*F248</f>
        <v>82.48949999999999</v>
      </c>
      <c r="H248" s="424">
        <f>G248*'Тарифные ставки'!$B$13</f>
        <v>212.82290999999998</v>
      </c>
      <c r="I248" s="424">
        <f>H248*'Тарифные ставки'!$B$14*'Тарифные ставки'!$B$15</f>
        <v>257.94136691999995</v>
      </c>
      <c r="J248" s="544">
        <f>I248-I248/'Тарифные ставки'!$B$15</f>
        <v>42.99022781999997</v>
      </c>
      <c r="K248" s="544">
        <v>215.77762800000005</v>
      </c>
      <c r="L248" s="424">
        <f t="shared" si="12"/>
        <v>19.540366307113132</v>
      </c>
      <c r="S248" s="361">
        <f t="shared" si="13"/>
        <v>0</v>
      </c>
    </row>
    <row r="249" spans="1:19" ht="15.75">
      <c r="A249" s="136" t="s">
        <v>2101</v>
      </c>
      <c r="B249" s="124" t="s">
        <v>34</v>
      </c>
      <c r="C249" s="93" t="s">
        <v>1416</v>
      </c>
      <c r="D249" s="463" t="s">
        <v>1103</v>
      </c>
      <c r="E249" s="422">
        <f>'Тарифные ставки'!$B$5</f>
        <v>137.4825</v>
      </c>
      <c r="F249" s="422">
        <v>0.7</v>
      </c>
      <c r="G249" s="544">
        <f t="shared" si="15"/>
        <v>96.23774999999999</v>
      </c>
      <c r="H249" s="424">
        <f>G249*'Тарифные ставки'!$B$13</f>
        <v>248.29339499999998</v>
      </c>
      <c r="I249" s="424">
        <f>H249*'Тарифные ставки'!$B$14*'Тарифные ставки'!$B$15</f>
        <v>300.9315947399999</v>
      </c>
      <c r="J249" s="544">
        <f>I249-I249/'Тарифные ставки'!$B$15</f>
        <v>50.15526578999999</v>
      </c>
      <c r="K249" s="544">
        <v>251.740566</v>
      </c>
      <c r="L249" s="424">
        <f t="shared" si="12"/>
        <v>19.540366307113132</v>
      </c>
      <c r="S249" s="361">
        <f t="shared" si="13"/>
        <v>0</v>
      </c>
    </row>
    <row r="250" spans="1:19" ht="15.75">
      <c r="A250" s="136" t="s">
        <v>2102</v>
      </c>
      <c r="B250" s="124" t="s">
        <v>35</v>
      </c>
      <c r="C250" s="93" t="s">
        <v>1416</v>
      </c>
      <c r="D250" s="463" t="s">
        <v>1103</v>
      </c>
      <c r="E250" s="422">
        <f>'Тарифные ставки'!$B$5</f>
        <v>137.4825</v>
      </c>
      <c r="F250" s="422">
        <v>0.62</v>
      </c>
      <c r="G250" s="544">
        <f t="shared" si="15"/>
        <v>85.23915</v>
      </c>
      <c r="H250" s="424">
        <f>G250*'Тарифные ставки'!$B$13</f>
        <v>219.91700699999998</v>
      </c>
      <c r="I250" s="424">
        <f>H250*'Тарифные ставки'!$B$14*'Тарифные ставки'!$B$15</f>
        <v>266.53941248399997</v>
      </c>
      <c r="J250" s="544">
        <f>I250-I250/'Тарифные ставки'!$B$15</f>
        <v>44.423235413999976</v>
      </c>
      <c r="K250" s="544">
        <v>222.97021560000005</v>
      </c>
      <c r="L250" s="424">
        <f t="shared" si="12"/>
        <v>19.540366307113132</v>
      </c>
      <c r="S250" s="361">
        <f t="shared" si="13"/>
        <v>0</v>
      </c>
    </row>
    <row r="251" spans="1:19" ht="15.75">
      <c r="A251" s="136" t="s">
        <v>2103</v>
      </c>
      <c r="B251" s="599" t="s">
        <v>36</v>
      </c>
      <c r="C251" s="93" t="s">
        <v>1416</v>
      </c>
      <c r="D251" s="463" t="s">
        <v>1103</v>
      </c>
      <c r="E251" s="422">
        <f>'Тарифные ставки'!$B$5</f>
        <v>137.4825</v>
      </c>
      <c r="F251" s="422">
        <v>0.35</v>
      </c>
      <c r="G251" s="544">
        <f t="shared" si="15"/>
        <v>48.118874999999996</v>
      </c>
      <c r="H251" s="424">
        <f>G251*'Тарифные ставки'!$B$13</f>
        <v>124.14669749999999</v>
      </c>
      <c r="I251" s="424">
        <f>H251*'Тарифные ставки'!$B$14*'Тарифные ставки'!$B$15</f>
        <v>150.46579736999996</v>
      </c>
      <c r="J251" s="544">
        <f>I251-I251/'Тарифные ставки'!$B$15</f>
        <v>25.077632894999994</v>
      </c>
      <c r="K251" s="544">
        <v>125.870283</v>
      </c>
      <c r="L251" s="424">
        <f t="shared" si="12"/>
        <v>19.540366307113132</v>
      </c>
      <c r="S251" s="361">
        <f t="shared" si="13"/>
        <v>0</v>
      </c>
    </row>
    <row r="252" spans="1:19" ht="15.75">
      <c r="A252" s="136" t="s">
        <v>2104</v>
      </c>
      <c r="B252" s="599" t="s">
        <v>37</v>
      </c>
      <c r="C252" s="93" t="s">
        <v>1416</v>
      </c>
      <c r="D252" s="463" t="s">
        <v>1103</v>
      </c>
      <c r="E252" s="422">
        <f>'Тарифные ставки'!$B$5</f>
        <v>137.4825</v>
      </c>
      <c r="F252" s="422">
        <v>0.25</v>
      </c>
      <c r="G252" s="544">
        <f t="shared" si="15"/>
        <v>34.370625</v>
      </c>
      <c r="H252" s="424">
        <f>G252*'Тарифные ставки'!$B$13</f>
        <v>88.67621249999999</v>
      </c>
      <c r="I252" s="424">
        <f>H252*'Тарифные ставки'!$B$14*'Тарифные ставки'!$B$15</f>
        <v>107.47556954999999</v>
      </c>
      <c r="J252" s="544">
        <f>I252-I252/'Тарифные ставки'!$B$15</f>
        <v>17.912594924999993</v>
      </c>
      <c r="K252" s="544">
        <v>89.907345</v>
      </c>
      <c r="L252" s="424">
        <f t="shared" si="12"/>
        <v>19.54036630711316</v>
      </c>
      <c r="S252" s="361">
        <f t="shared" si="13"/>
        <v>0</v>
      </c>
    </row>
    <row r="253" spans="1:19" ht="15.75">
      <c r="A253" s="136" t="s">
        <v>2105</v>
      </c>
      <c r="B253" s="185" t="s">
        <v>38</v>
      </c>
      <c r="C253" s="93" t="s">
        <v>1416</v>
      </c>
      <c r="D253" s="463" t="s">
        <v>1103</v>
      </c>
      <c r="E253" s="422">
        <f>'Тарифные ставки'!$B$5</f>
        <v>137.4825</v>
      </c>
      <c r="F253" s="422">
        <v>0.26</v>
      </c>
      <c r="G253" s="544">
        <f t="shared" si="15"/>
        <v>35.74545</v>
      </c>
      <c r="H253" s="424">
        <f>G253*'Тарифные ставки'!$B$13</f>
        <v>92.223261</v>
      </c>
      <c r="I253" s="424">
        <f>H253*'Тарифные ставки'!$B$14*'Тарифные ставки'!$B$15</f>
        <v>111.77459233199998</v>
      </c>
      <c r="J253" s="544">
        <f>I253-I253/'Тарифные ставки'!$B$15</f>
        <v>18.629098721999995</v>
      </c>
      <c r="K253" s="544">
        <v>93.5036388</v>
      </c>
      <c r="L253" s="424">
        <f t="shared" si="12"/>
        <v>19.54036630711316</v>
      </c>
      <c r="S253" s="361">
        <f t="shared" si="13"/>
        <v>0</v>
      </c>
    </row>
    <row r="254" spans="1:19" ht="15.75" customHeight="1">
      <c r="A254" s="136" t="s">
        <v>2106</v>
      </c>
      <c r="B254" s="599" t="s">
        <v>1929</v>
      </c>
      <c r="C254" s="93" t="s">
        <v>1416</v>
      </c>
      <c r="D254" s="463" t="s">
        <v>1103</v>
      </c>
      <c r="E254" s="422">
        <f>'Тарифные ставки'!$B$5</f>
        <v>137.4825</v>
      </c>
      <c r="F254" s="422">
        <v>0.8</v>
      </c>
      <c r="G254" s="544">
        <f t="shared" si="15"/>
        <v>109.98599999999999</v>
      </c>
      <c r="H254" s="424">
        <f>G254*'Тарифные ставки'!$B$13</f>
        <v>283.76388</v>
      </c>
      <c r="I254" s="424">
        <f>H254*'Тарифные ставки'!$B$14*'Тарифные ставки'!$B$15</f>
        <v>343.92182255999995</v>
      </c>
      <c r="J254" s="544">
        <f>I254-I254/'Тарифные ставки'!$B$15</f>
        <v>57.32030376</v>
      </c>
      <c r="K254" s="544">
        <v>287.70350400000007</v>
      </c>
      <c r="L254" s="424">
        <f t="shared" si="12"/>
        <v>19.540366307113132</v>
      </c>
      <c r="S254" s="361">
        <f t="shared" si="13"/>
        <v>0</v>
      </c>
    </row>
    <row r="255" spans="1:19" ht="15.75">
      <c r="A255" s="136" t="s">
        <v>2107</v>
      </c>
      <c r="B255" s="599" t="s">
        <v>1930</v>
      </c>
      <c r="C255" s="93" t="s">
        <v>1416</v>
      </c>
      <c r="D255" s="463" t="s">
        <v>1103</v>
      </c>
      <c r="E255" s="422">
        <f>'Тарифные ставки'!$B$5</f>
        <v>137.4825</v>
      </c>
      <c r="F255" s="422">
        <v>1.5</v>
      </c>
      <c r="G255" s="544">
        <f t="shared" si="15"/>
        <v>206.22375</v>
      </c>
      <c r="H255" s="424">
        <f>G255*'Тарифные ставки'!$B$13</f>
        <v>532.057275</v>
      </c>
      <c r="I255" s="424">
        <f>H255*'Тарифные ставки'!$B$14*'Тарифные ставки'!$B$15</f>
        <v>644.8534172999999</v>
      </c>
      <c r="J255" s="544">
        <f>I255-I255/'Тарифные ставки'!$B$15</f>
        <v>107.47556954999993</v>
      </c>
      <c r="K255" s="544">
        <v>539.44407</v>
      </c>
      <c r="L255" s="424">
        <f t="shared" si="12"/>
        <v>19.54036630711316</v>
      </c>
      <c r="S255" s="361">
        <f t="shared" si="13"/>
        <v>0</v>
      </c>
    </row>
    <row r="256" spans="1:19" ht="15.75">
      <c r="A256" s="136" t="s">
        <v>2108</v>
      </c>
      <c r="B256" s="599" t="s">
        <v>1931</v>
      </c>
      <c r="C256" s="93" t="s">
        <v>1416</v>
      </c>
      <c r="D256" s="463" t="s">
        <v>1103</v>
      </c>
      <c r="E256" s="422">
        <f>'Тарифные ставки'!$B$5</f>
        <v>137.4825</v>
      </c>
      <c r="F256" s="422">
        <v>2.5</v>
      </c>
      <c r="G256" s="544">
        <f t="shared" si="15"/>
        <v>343.70624999999995</v>
      </c>
      <c r="H256" s="424">
        <f>G256*'Тарифные ставки'!$B$13</f>
        <v>886.7621249999999</v>
      </c>
      <c r="I256" s="424">
        <f>H256*'Тарифные ставки'!$B$14*'Тарифные ставки'!$B$15</f>
        <v>1074.7556954999998</v>
      </c>
      <c r="J256" s="544">
        <f>I256-I256/'Тарифные ставки'!$B$15</f>
        <v>179.12594924999996</v>
      </c>
      <c r="K256" s="544">
        <v>899.0734500000002</v>
      </c>
      <c r="L256" s="424">
        <f t="shared" si="12"/>
        <v>19.540366307113118</v>
      </c>
      <c r="S256" s="361">
        <f t="shared" si="13"/>
        <v>0</v>
      </c>
    </row>
    <row r="257" spans="1:19" ht="15.75">
      <c r="A257" s="136" t="s">
        <v>2109</v>
      </c>
      <c r="B257" s="599" t="s">
        <v>1932</v>
      </c>
      <c r="C257" s="93" t="s">
        <v>1416</v>
      </c>
      <c r="D257" s="463" t="s">
        <v>1103</v>
      </c>
      <c r="E257" s="422">
        <f>'Тарифные ставки'!$B$5</f>
        <v>137.4825</v>
      </c>
      <c r="F257" s="422">
        <v>2</v>
      </c>
      <c r="G257" s="544">
        <f t="shared" si="15"/>
        <v>274.965</v>
      </c>
      <c r="H257" s="424">
        <f>G257*'Тарифные ставки'!$B$13</f>
        <v>709.4096999999999</v>
      </c>
      <c r="I257" s="424">
        <f>H257*'Тарифные ставки'!$B$14*'Тарифные ставки'!$B$15</f>
        <v>859.8045563999999</v>
      </c>
      <c r="J257" s="544">
        <f>I257-I257/'Тарифные ставки'!$B$15</f>
        <v>143.30075939999995</v>
      </c>
      <c r="K257" s="544">
        <v>719.25876</v>
      </c>
      <c r="L257" s="424">
        <f t="shared" si="12"/>
        <v>19.54036630711316</v>
      </c>
      <c r="S257" s="361">
        <f t="shared" si="13"/>
        <v>0</v>
      </c>
    </row>
    <row r="258" spans="1:19" ht="15.75">
      <c r="A258" s="136" t="s">
        <v>2110</v>
      </c>
      <c r="B258" s="599" t="s">
        <v>1933</v>
      </c>
      <c r="C258" s="93" t="s">
        <v>1416</v>
      </c>
      <c r="D258" s="463" t="s">
        <v>1103</v>
      </c>
      <c r="E258" s="422">
        <f>'Тарифные ставки'!$B$5</f>
        <v>137.4825</v>
      </c>
      <c r="F258" s="546">
        <v>0.5</v>
      </c>
      <c r="G258" s="544">
        <f t="shared" si="15"/>
        <v>68.74125</v>
      </c>
      <c r="H258" s="424">
        <f>G258*'Тарифные ставки'!$B$13</f>
        <v>177.35242499999998</v>
      </c>
      <c r="I258" s="424">
        <f>H258*'Тарифные ставки'!$B$14*'Тарифные ставки'!$B$15</f>
        <v>214.95113909999998</v>
      </c>
      <c r="J258" s="544">
        <f>I258-I258/'Тарифные ставки'!$B$15</f>
        <v>35.82518984999999</v>
      </c>
      <c r="K258" s="544">
        <v>179.81469</v>
      </c>
      <c r="L258" s="424">
        <f t="shared" si="12"/>
        <v>19.54036630711316</v>
      </c>
      <c r="S258" s="361">
        <f t="shared" si="13"/>
        <v>0</v>
      </c>
    </row>
    <row r="259" spans="1:19" ht="15.75">
      <c r="A259" s="136" t="s">
        <v>2111</v>
      </c>
      <c r="B259" s="124" t="s">
        <v>2116</v>
      </c>
      <c r="C259" s="93" t="s">
        <v>1416</v>
      </c>
      <c r="D259" s="463" t="s">
        <v>1103</v>
      </c>
      <c r="E259" s="422">
        <f>'Тарифные ставки'!$B$5</f>
        <v>137.4825</v>
      </c>
      <c r="F259" s="422">
        <v>3</v>
      </c>
      <c r="G259" s="544">
        <f>E259*F259</f>
        <v>412.4475</v>
      </c>
      <c r="H259" s="424">
        <f>G259*'Тарифные ставки'!$B$13</f>
        <v>1064.11455</v>
      </c>
      <c r="I259" s="424">
        <f>H259*'Тарифные ставки'!$B$14*'Тарифные ставки'!$B$15</f>
        <v>1289.7068345999999</v>
      </c>
      <c r="J259" s="544">
        <f>I259-I259/'Тарифные ставки'!$B$15</f>
        <v>214.95113909999986</v>
      </c>
      <c r="K259" s="544">
        <v>1438.51752</v>
      </c>
      <c r="L259" s="424">
        <f t="shared" si="12"/>
        <v>-10.344725269665133</v>
      </c>
      <c r="S259" s="361">
        <f t="shared" si="13"/>
        <v>0</v>
      </c>
    </row>
    <row r="260" spans="1:19" ht="0.75" customHeight="1">
      <c r="A260" s="135"/>
      <c r="B260" s="600"/>
      <c r="C260" s="95"/>
      <c r="D260" s="462" t="s">
        <v>1103</v>
      </c>
      <c r="E260" s="554">
        <f>'Тарифные ставки'!$B$5</f>
        <v>137.4825</v>
      </c>
      <c r="F260" s="554">
        <v>1</v>
      </c>
      <c r="G260" s="548">
        <f>E260*F260</f>
        <v>137.4825</v>
      </c>
      <c r="H260" s="420">
        <f>G260*'Тарифные ставки'!$B$13</f>
        <v>354.70484999999996</v>
      </c>
      <c r="I260" s="420">
        <f>H260*'Тарифные ставки'!$B$14*'Тарифные ставки'!$B$15</f>
        <v>429.90227819999996</v>
      </c>
      <c r="J260" s="548">
        <f>I260-I260/'Тарифные ставки'!$B$15</f>
        <v>71.65037969999997</v>
      </c>
      <c r="K260" s="544">
        <v>0</v>
      </c>
      <c r="L260" s="424" t="e">
        <f t="shared" si="12"/>
        <v>#DIV/0!</v>
      </c>
      <c r="S260" s="361">
        <f t="shared" si="13"/>
        <v>0</v>
      </c>
    </row>
    <row r="261" spans="1:19" ht="15.75">
      <c r="A261" s="136" t="s">
        <v>2112</v>
      </c>
      <c r="B261" s="599" t="s">
        <v>1934</v>
      </c>
      <c r="C261" s="93" t="s">
        <v>1416</v>
      </c>
      <c r="D261" s="463" t="s">
        <v>1103</v>
      </c>
      <c r="E261" s="422">
        <f>'Тарифные ставки'!$B$5</f>
        <v>137.4825</v>
      </c>
      <c r="F261" s="422">
        <v>1.5</v>
      </c>
      <c r="G261" s="544">
        <f t="shared" si="15"/>
        <v>206.22375</v>
      </c>
      <c r="H261" s="424">
        <f>G261*'Тарифные ставки'!$B$13</f>
        <v>532.057275</v>
      </c>
      <c r="I261" s="424">
        <f>H261*'Тарифные ставки'!$B$14*'Тарифные ставки'!$B$15</f>
        <v>644.8534172999999</v>
      </c>
      <c r="J261" s="544">
        <f>I261-I261/'Тарифные ставки'!$B$15</f>
        <v>107.47556954999993</v>
      </c>
      <c r="K261" s="544">
        <v>539.44407</v>
      </c>
      <c r="L261" s="424">
        <f t="shared" si="12"/>
        <v>19.54036630711316</v>
      </c>
      <c r="S261" s="361">
        <f t="shared" si="13"/>
        <v>0</v>
      </c>
    </row>
    <row r="262" spans="1:19" ht="15.75">
      <c r="A262" s="136" t="s">
        <v>2113</v>
      </c>
      <c r="B262" s="185" t="s">
        <v>1935</v>
      </c>
      <c r="C262" s="93" t="s">
        <v>1416</v>
      </c>
      <c r="D262" s="463" t="s">
        <v>1103</v>
      </c>
      <c r="E262" s="422">
        <f>'Тарифные ставки'!$B$5</f>
        <v>137.4825</v>
      </c>
      <c r="F262" s="422">
        <v>0.35</v>
      </c>
      <c r="G262" s="544">
        <f t="shared" si="15"/>
        <v>48.118874999999996</v>
      </c>
      <c r="H262" s="424">
        <f>G262*'Тарифные ставки'!$B$13</f>
        <v>124.14669749999999</v>
      </c>
      <c r="I262" s="424">
        <f>H262*'Тарифные ставки'!$B$14*'Тарифные ставки'!$B$15</f>
        <v>150.46579736999996</v>
      </c>
      <c r="J262" s="544">
        <f>I262-I262/'Тарифные ставки'!$B$15</f>
        <v>25.077632894999994</v>
      </c>
      <c r="K262" s="544">
        <v>125.870283</v>
      </c>
      <c r="L262" s="424">
        <f t="shared" si="12"/>
        <v>19.540366307113132</v>
      </c>
      <c r="S262" s="361">
        <f t="shared" si="13"/>
        <v>0</v>
      </c>
    </row>
    <row r="263" spans="1:19" ht="15.75">
      <c r="A263" s="136" t="s">
        <v>2114</v>
      </c>
      <c r="B263" s="599" t="s">
        <v>416</v>
      </c>
      <c r="C263" s="93" t="s">
        <v>1416</v>
      </c>
      <c r="D263" s="463" t="s">
        <v>1103</v>
      </c>
      <c r="E263" s="422">
        <f>'Тарифные ставки'!$B$5</f>
        <v>137.4825</v>
      </c>
      <c r="F263" s="422">
        <v>0.33</v>
      </c>
      <c r="G263" s="544">
        <f t="shared" si="15"/>
        <v>45.369225</v>
      </c>
      <c r="H263" s="424">
        <f>G263*'Тарифные ставки'!$B$13</f>
        <v>117.0526005</v>
      </c>
      <c r="I263" s="424">
        <f>H263*'Тарифные ставки'!$B$14*'Тарифные ставки'!$B$15</f>
        <v>141.867751806</v>
      </c>
      <c r="J263" s="544">
        <f>I263-I263/'Тарифные ставки'!$B$15</f>
        <v>23.64462530099999</v>
      </c>
      <c r="K263" s="544">
        <v>118.6776954</v>
      </c>
      <c r="L263" s="424">
        <f t="shared" si="12"/>
        <v>19.540366307113175</v>
      </c>
      <c r="S263" s="361">
        <f t="shared" si="13"/>
        <v>0</v>
      </c>
    </row>
    <row r="264" spans="1:19" ht="15.75">
      <c r="A264" s="136" t="s">
        <v>2115</v>
      </c>
      <c r="B264" s="185" t="s">
        <v>417</v>
      </c>
      <c r="C264" s="93" t="s">
        <v>1416</v>
      </c>
      <c r="D264" s="463" t="s">
        <v>1103</v>
      </c>
      <c r="E264" s="422">
        <f>'Тарифные ставки'!$B$5</f>
        <v>137.4825</v>
      </c>
      <c r="F264" s="422">
        <v>2.5</v>
      </c>
      <c r="G264" s="544">
        <f t="shared" si="15"/>
        <v>343.70624999999995</v>
      </c>
      <c r="H264" s="424">
        <f>G264*'Тарифные ставки'!$B$13</f>
        <v>886.7621249999999</v>
      </c>
      <c r="I264" s="424">
        <f>H264*'Тарифные ставки'!$B$14*'Тарифные ставки'!$B$15</f>
        <v>1074.7556954999998</v>
      </c>
      <c r="J264" s="544">
        <f>I264-I264/'Тарифные ставки'!$B$15</f>
        <v>179.12594924999996</v>
      </c>
      <c r="K264" s="544">
        <v>899.0734500000002</v>
      </c>
      <c r="L264" s="424">
        <f t="shared" si="12"/>
        <v>19.540366307113118</v>
      </c>
      <c r="S264" s="361">
        <f t="shared" si="13"/>
        <v>0</v>
      </c>
    </row>
    <row r="265" spans="1:19" ht="15.75">
      <c r="A265" s="127"/>
      <c r="B265" s="114" t="s">
        <v>2117</v>
      </c>
      <c r="C265" s="60"/>
      <c r="D265" s="60"/>
      <c r="E265" s="422"/>
      <c r="F265" s="424"/>
      <c r="G265" s="424"/>
      <c r="H265" s="424"/>
      <c r="I265" s="424"/>
      <c r="J265" s="424"/>
      <c r="K265" s="538"/>
      <c r="L265" s="538"/>
      <c r="S265" s="361"/>
    </row>
    <row r="266" spans="1:19" ht="15.75">
      <c r="A266" s="136" t="s">
        <v>2118</v>
      </c>
      <c r="B266" s="185" t="s">
        <v>2119</v>
      </c>
      <c r="C266" s="93" t="s">
        <v>1416</v>
      </c>
      <c r="D266" s="375" t="s">
        <v>2313</v>
      </c>
      <c r="E266" s="422">
        <f>'Тарифные ставки'!$B$6</f>
        <v>148.166</v>
      </c>
      <c r="F266" s="422">
        <v>1</v>
      </c>
      <c r="G266" s="544">
        <f>E266*F266</f>
        <v>148.166</v>
      </c>
      <c r="H266" s="424">
        <f>G266*'Тарифные ставки'!$B$13</f>
        <v>382.26828</v>
      </c>
      <c r="I266" s="424">
        <f>H266*'Тарифные ставки'!$B$14*'Тарифные ставки'!$B$15</f>
        <v>463.30915536</v>
      </c>
      <c r="J266" s="544">
        <f>I266-I266/'Тарифные ставки'!$B$15</f>
        <v>77.21819255999998</v>
      </c>
      <c r="K266" s="544">
        <v>387.18108</v>
      </c>
      <c r="L266" s="424">
        <f aca="true" t="shared" si="16" ref="L266:L310">I266/K266*100-100</f>
        <v>19.66213725112806</v>
      </c>
      <c r="S266" s="361">
        <f aca="true" t="shared" si="17" ref="S266:S310">R266/I266*100</f>
        <v>0</v>
      </c>
    </row>
    <row r="267" spans="1:19" ht="15.75">
      <c r="A267" s="136" t="s">
        <v>2120</v>
      </c>
      <c r="B267" s="185" t="s">
        <v>2417</v>
      </c>
      <c r="C267" s="93" t="s">
        <v>1416</v>
      </c>
      <c r="D267" s="375" t="s">
        <v>2313</v>
      </c>
      <c r="E267" s="422">
        <f>'Тарифные ставки'!$B$6</f>
        <v>148.166</v>
      </c>
      <c r="F267" s="422">
        <v>0.95</v>
      </c>
      <c r="G267" s="544">
        <f aca="true" t="shared" si="18" ref="G267:G274">E267*F267</f>
        <v>140.7577</v>
      </c>
      <c r="H267" s="424">
        <f>G267*'Тарифные ставки'!$B$13</f>
        <v>363.154866</v>
      </c>
      <c r="I267" s="424">
        <f>H267*'Тарифные ставки'!$B$14*'Тарифные ставки'!$B$15</f>
        <v>440.143697592</v>
      </c>
      <c r="J267" s="544">
        <f>I267-I267/'Тарифные ставки'!$B$15</f>
        <v>73.35728293199998</v>
      </c>
      <c r="K267" s="544">
        <v>367.82202600000005</v>
      </c>
      <c r="L267" s="424">
        <f t="shared" si="16"/>
        <v>19.66213725112806</v>
      </c>
      <c r="S267" s="361">
        <f t="shared" si="17"/>
        <v>0</v>
      </c>
    </row>
    <row r="268" spans="1:19" ht="32.25" customHeight="1">
      <c r="A268" s="136" t="s">
        <v>2121</v>
      </c>
      <c r="B268" s="185" t="s">
        <v>2418</v>
      </c>
      <c r="C268" s="93" t="s">
        <v>1416</v>
      </c>
      <c r="D268" s="375" t="s">
        <v>2313</v>
      </c>
      <c r="E268" s="422">
        <f>'Тарифные ставки'!$B$6</f>
        <v>148.166</v>
      </c>
      <c r="F268" s="422">
        <v>2.5</v>
      </c>
      <c r="G268" s="544">
        <f t="shared" si="18"/>
        <v>370.41499999999996</v>
      </c>
      <c r="H268" s="424">
        <f>G268*'Тарифные ставки'!$B$13</f>
        <v>955.6706999999999</v>
      </c>
      <c r="I268" s="424">
        <f>H268*'Тарифные ставки'!$B$14*'Тарифные ставки'!$B$15</f>
        <v>1158.2728883999998</v>
      </c>
      <c r="J268" s="544">
        <f>I268-I268/'Тарифные ставки'!$B$15</f>
        <v>193.04548139999997</v>
      </c>
      <c r="K268" s="544">
        <v>967.9527</v>
      </c>
      <c r="L268" s="424">
        <f t="shared" si="16"/>
        <v>19.662137251128044</v>
      </c>
      <c r="S268" s="361">
        <f t="shared" si="17"/>
        <v>0</v>
      </c>
    </row>
    <row r="269" spans="1:19" ht="15.75">
      <c r="A269" s="136" t="s">
        <v>2122</v>
      </c>
      <c r="B269" s="185" t="s">
        <v>2129</v>
      </c>
      <c r="C269" s="93" t="s">
        <v>1416</v>
      </c>
      <c r="D269" s="375" t="s">
        <v>2313</v>
      </c>
      <c r="E269" s="422">
        <f>'Тарифные ставки'!$B$6</f>
        <v>148.166</v>
      </c>
      <c r="F269" s="422">
        <v>2.2</v>
      </c>
      <c r="G269" s="544">
        <f t="shared" si="18"/>
        <v>325.96520000000004</v>
      </c>
      <c r="H269" s="424">
        <f>G269*'Тарифные ставки'!$B$13</f>
        <v>840.9902160000001</v>
      </c>
      <c r="I269" s="424">
        <f>H269*'Тарифные ставки'!$B$14*'Тарифные ставки'!$B$15</f>
        <v>1019.2801417920001</v>
      </c>
      <c r="J269" s="544">
        <f>I269-I269/'Тарифные ставки'!$B$15</f>
        <v>169.88002363199996</v>
      </c>
      <c r="K269" s="544">
        <v>851.7983760000002</v>
      </c>
      <c r="L269" s="424">
        <f t="shared" si="16"/>
        <v>19.66213725112806</v>
      </c>
      <c r="S269" s="361">
        <f t="shared" si="17"/>
        <v>0</v>
      </c>
    </row>
    <row r="270" spans="1:19" ht="15.75">
      <c r="A270" s="136" t="s">
        <v>2123</v>
      </c>
      <c r="B270" s="185" t="s">
        <v>2130</v>
      </c>
      <c r="C270" s="93" t="s">
        <v>1416</v>
      </c>
      <c r="D270" s="375" t="s">
        <v>2313</v>
      </c>
      <c r="E270" s="422">
        <f>'Тарифные ставки'!$B$6</f>
        <v>148.166</v>
      </c>
      <c r="F270" s="422">
        <v>0.85</v>
      </c>
      <c r="G270" s="544">
        <f t="shared" si="18"/>
        <v>125.94109999999999</v>
      </c>
      <c r="H270" s="424">
        <f>G270*'Тарифные ставки'!$B$13</f>
        <v>324.928038</v>
      </c>
      <c r="I270" s="424">
        <f>H270*'Тарифные ставки'!$B$14*'Тарифные ставки'!$B$15</f>
        <v>393.812782056</v>
      </c>
      <c r="J270" s="544">
        <f>I270-I270/'Тарифные ставки'!$B$15</f>
        <v>65.63546367599997</v>
      </c>
      <c r="K270" s="544">
        <v>329.10391799999996</v>
      </c>
      <c r="L270" s="424">
        <f t="shared" si="16"/>
        <v>19.662137251128087</v>
      </c>
      <c r="S270" s="361">
        <f t="shared" si="17"/>
        <v>0</v>
      </c>
    </row>
    <row r="271" spans="1:19" ht="15.75">
      <c r="A271" s="136" t="s">
        <v>2124</v>
      </c>
      <c r="B271" s="185" t="s">
        <v>2419</v>
      </c>
      <c r="C271" s="93" t="s">
        <v>1416</v>
      </c>
      <c r="D271" s="375" t="s">
        <v>2313</v>
      </c>
      <c r="E271" s="422">
        <f>'Тарифные ставки'!$B$6</f>
        <v>148.166</v>
      </c>
      <c r="F271" s="422">
        <v>2.95</v>
      </c>
      <c r="G271" s="544">
        <f t="shared" si="18"/>
        <v>437.0897</v>
      </c>
      <c r="H271" s="424">
        <f>G271*'Тарифные ставки'!$B$13</f>
        <v>1127.691426</v>
      </c>
      <c r="I271" s="424">
        <f>H271*'Тарифные ставки'!$B$14*'Тарифные ставки'!$B$15</f>
        <v>1366.762008312</v>
      </c>
      <c r="J271" s="544">
        <f>I271-I271/'Тарифные ставки'!$B$15</f>
        <v>227.79366805199993</v>
      </c>
      <c r="K271" s="544">
        <v>1142.1841860000002</v>
      </c>
      <c r="L271" s="424">
        <f t="shared" si="16"/>
        <v>19.66213725112806</v>
      </c>
      <c r="S271" s="361">
        <f t="shared" si="17"/>
        <v>0</v>
      </c>
    </row>
    <row r="272" spans="1:19" ht="15.75">
      <c r="A272" s="136" t="s">
        <v>2125</v>
      </c>
      <c r="B272" s="185" t="s">
        <v>2129</v>
      </c>
      <c r="C272" s="93" t="s">
        <v>1416</v>
      </c>
      <c r="D272" s="375" t="s">
        <v>2313</v>
      </c>
      <c r="E272" s="422">
        <f>'Тарифные ставки'!$B$6</f>
        <v>148.166</v>
      </c>
      <c r="F272" s="422">
        <v>2.7</v>
      </c>
      <c r="G272" s="544">
        <f t="shared" si="18"/>
        <v>400.0482</v>
      </c>
      <c r="H272" s="424">
        <f>G272*'Тарифные ставки'!$B$13</f>
        <v>1032.124356</v>
      </c>
      <c r="I272" s="424">
        <f>H272*'Тарифные ставки'!$B$14*'Тарифные ставки'!$B$15</f>
        <v>1250.934719472</v>
      </c>
      <c r="J272" s="544">
        <f>I272-I272/'Тарифные ставки'!$B$15</f>
        <v>208.48911991199998</v>
      </c>
      <c r="K272" s="544">
        <v>1045.388916</v>
      </c>
      <c r="L272" s="424">
        <f t="shared" si="16"/>
        <v>19.66213725112806</v>
      </c>
      <c r="S272" s="361">
        <f t="shared" si="17"/>
        <v>0</v>
      </c>
    </row>
    <row r="273" spans="1:19" ht="31.5">
      <c r="A273" s="136" t="s">
        <v>2126</v>
      </c>
      <c r="B273" s="185" t="s">
        <v>2420</v>
      </c>
      <c r="C273" s="93" t="s">
        <v>1416</v>
      </c>
      <c r="D273" s="375" t="s">
        <v>2313</v>
      </c>
      <c r="E273" s="422">
        <f>'Тарифные ставки'!$B$6</f>
        <v>148.166</v>
      </c>
      <c r="F273" s="422">
        <v>2.7</v>
      </c>
      <c r="G273" s="544">
        <f t="shared" si="18"/>
        <v>400.0482</v>
      </c>
      <c r="H273" s="424">
        <f>G273*'Тарифные ставки'!$B$13</f>
        <v>1032.124356</v>
      </c>
      <c r="I273" s="424">
        <f>H273*'Тарифные ставки'!$B$14*'Тарифные ставки'!$B$15</f>
        <v>1250.934719472</v>
      </c>
      <c r="J273" s="544">
        <f>I273-I273/'Тарифные ставки'!$B$15</f>
        <v>208.48911991199998</v>
      </c>
      <c r="K273" s="544">
        <v>1045.388916</v>
      </c>
      <c r="L273" s="424">
        <f t="shared" si="16"/>
        <v>19.66213725112806</v>
      </c>
      <c r="S273" s="361">
        <f t="shared" si="17"/>
        <v>0</v>
      </c>
    </row>
    <row r="274" spans="1:19" ht="15.75">
      <c r="A274" s="136" t="s">
        <v>2127</v>
      </c>
      <c r="B274" s="185" t="s">
        <v>2129</v>
      </c>
      <c r="C274" s="93" t="s">
        <v>1416</v>
      </c>
      <c r="D274" s="375" t="s">
        <v>2313</v>
      </c>
      <c r="E274" s="422">
        <f>'Тарифные ставки'!$B$6</f>
        <v>148.166</v>
      </c>
      <c r="F274" s="422">
        <v>2.2</v>
      </c>
      <c r="G274" s="544">
        <f t="shared" si="18"/>
        <v>325.96520000000004</v>
      </c>
      <c r="H274" s="424">
        <f>G274*'Тарифные ставки'!$B$13</f>
        <v>840.9902160000001</v>
      </c>
      <c r="I274" s="424">
        <f>H274*'Тарифные ставки'!$B$14*'Тарифные ставки'!$B$15</f>
        <v>1019.2801417920001</v>
      </c>
      <c r="J274" s="544">
        <f>I274-I274/'Тарифные ставки'!$B$15</f>
        <v>169.88002363199996</v>
      </c>
      <c r="K274" s="544">
        <v>851.7983760000002</v>
      </c>
      <c r="L274" s="424">
        <f t="shared" si="16"/>
        <v>19.66213725112806</v>
      </c>
      <c r="S274" s="361">
        <f t="shared" si="17"/>
        <v>0</v>
      </c>
    </row>
    <row r="275" spans="1:19" ht="15.75">
      <c r="A275" s="127"/>
      <c r="B275" s="534" t="s">
        <v>2134</v>
      </c>
      <c r="C275" s="60"/>
      <c r="D275" s="60"/>
      <c r="E275" s="422"/>
      <c r="F275" s="424"/>
      <c r="G275" s="424"/>
      <c r="H275" s="424"/>
      <c r="I275" s="424"/>
      <c r="J275" s="424"/>
      <c r="K275" s="538"/>
      <c r="L275" s="538"/>
      <c r="S275" s="361" t="e">
        <f t="shared" si="17"/>
        <v>#DIV/0!</v>
      </c>
    </row>
    <row r="276" spans="1:19" ht="15.75">
      <c r="A276" s="133" t="s">
        <v>2128</v>
      </c>
      <c r="B276" s="186" t="s">
        <v>2135</v>
      </c>
      <c r="C276" s="173" t="s">
        <v>1416</v>
      </c>
      <c r="D276" s="94"/>
      <c r="E276" s="422"/>
      <c r="F276" s="549"/>
      <c r="G276" s="547"/>
      <c r="H276" s="424"/>
      <c r="I276" s="424"/>
      <c r="J276" s="547"/>
      <c r="K276" s="545"/>
      <c r="L276" s="538"/>
      <c r="S276" s="361" t="e">
        <f t="shared" si="17"/>
        <v>#DIV/0!</v>
      </c>
    </row>
    <row r="277" spans="1:19" ht="15.75">
      <c r="A277" s="134"/>
      <c r="B277" s="187" t="s">
        <v>2136</v>
      </c>
      <c r="C277" s="267"/>
      <c r="D277" s="461" t="s">
        <v>1103</v>
      </c>
      <c r="E277" s="422">
        <f>'Тарифные ставки'!$B$5</f>
        <v>137.4825</v>
      </c>
      <c r="F277" s="550">
        <v>0.9</v>
      </c>
      <c r="G277" s="551">
        <f>E277*F277</f>
        <v>123.73424999999999</v>
      </c>
      <c r="H277" s="424">
        <f>G277*'Тарифные ставки'!$B$13</f>
        <v>319.23436499999997</v>
      </c>
      <c r="I277" s="424">
        <f>H277*'Тарифные ставки'!$B$14*'Тарифные ставки'!$B$15</f>
        <v>386.9120503799999</v>
      </c>
      <c r="J277" s="551">
        <f>I277-I277/'Тарифные ставки'!$B$15</f>
        <v>64.48534172999996</v>
      </c>
      <c r="K277" s="544">
        <v>323.6664420000001</v>
      </c>
      <c r="L277" s="424">
        <f t="shared" si="16"/>
        <v>19.540366307113132</v>
      </c>
      <c r="S277" s="361">
        <f t="shared" si="17"/>
        <v>0</v>
      </c>
    </row>
    <row r="278" spans="1:19" ht="15.75">
      <c r="A278" s="134"/>
      <c r="B278" s="187" t="s">
        <v>1292</v>
      </c>
      <c r="C278" s="267"/>
      <c r="D278" s="461" t="s">
        <v>1103</v>
      </c>
      <c r="E278" s="422">
        <f>'Тарифные ставки'!$B$5</f>
        <v>137.4825</v>
      </c>
      <c r="F278" s="550">
        <v>1.42</v>
      </c>
      <c r="G278" s="551">
        <f>E278*F278</f>
        <v>195.22514999999999</v>
      </c>
      <c r="H278" s="424">
        <f>G278*'Тарифные ставки'!$B$13</f>
        <v>503.680887</v>
      </c>
      <c r="I278" s="424">
        <f>H278*'Тарифные ставки'!$B$14*'Тарифные ставки'!$B$15</f>
        <v>610.461235044</v>
      </c>
      <c r="J278" s="551">
        <f>I278-I278/'Тарифные ставки'!$B$15</f>
        <v>101.74353917399998</v>
      </c>
      <c r="K278" s="544">
        <v>510.6737196</v>
      </c>
      <c r="L278" s="424">
        <f t="shared" si="16"/>
        <v>19.54036630711316</v>
      </c>
      <c r="S278" s="361">
        <f t="shared" si="17"/>
        <v>0</v>
      </c>
    </row>
    <row r="279" spans="1:19" ht="31.5">
      <c r="A279" s="135"/>
      <c r="B279" s="188" t="s">
        <v>2487</v>
      </c>
      <c r="C279" s="268"/>
      <c r="D279" s="95"/>
      <c r="E279" s="422"/>
      <c r="F279" s="552"/>
      <c r="G279" s="548"/>
      <c r="H279" s="424"/>
      <c r="I279" s="424"/>
      <c r="J279" s="548"/>
      <c r="K279" s="545"/>
      <c r="L279" s="538"/>
      <c r="S279" s="361" t="e">
        <f t="shared" si="17"/>
        <v>#DIV/0!</v>
      </c>
    </row>
    <row r="280" spans="1:19" ht="31.5">
      <c r="A280" s="133" t="s">
        <v>2131</v>
      </c>
      <c r="B280" s="186" t="s">
        <v>15</v>
      </c>
      <c r="C280" s="94" t="s">
        <v>17</v>
      </c>
      <c r="D280" s="94"/>
      <c r="E280" s="422"/>
      <c r="F280" s="546"/>
      <c r="G280" s="547"/>
      <c r="H280" s="424"/>
      <c r="I280" s="424"/>
      <c r="J280" s="547"/>
      <c r="K280" s="545"/>
      <c r="L280" s="538"/>
      <c r="S280" s="361" t="e">
        <f t="shared" si="17"/>
        <v>#DIV/0!</v>
      </c>
    </row>
    <row r="281" spans="1:19" ht="15.75">
      <c r="A281" s="134"/>
      <c r="B281" s="187" t="s">
        <v>16</v>
      </c>
      <c r="C281" s="100"/>
      <c r="D281" s="461" t="s">
        <v>1103</v>
      </c>
      <c r="E281" s="422">
        <f>'Тарифные ставки'!$B$5</f>
        <v>137.4825</v>
      </c>
      <c r="F281" s="553">
        <v>2.84</v>
      </c>
      <c r="G281" s="551">
        <f>E281*F281</f>
        <v>390.45029999999997</v>
      </c>
      <c r="H281" s="424">
        <f>G281*'Тарифные ставки'!$B$13</f>
        <v>1007.361774</v>
      </c>
      <c r="I281" s="424">
        <f>H281*'Тарифные ставки'!$B$14*'Тарифные ставки'!$B$15</f>
        <v>1220.922470088</v>
      </c>
      <c r="J281" s="551">
        <f>I281-I281/'Тарифные ставки'!$B$15</f>
        <v>203.48707834799995</v>
      </c>
      <c r="K281" s="544">
        <v>1021.3474392</v>
      </c>
      <c r="L281" s="424">
        <f t="shared" si="16"/>
        <v>19.54036630711316</v>
      </c>
      <c r="S281" s="361">
        <f t="shared" si="17"/>
        <v>0</v>
      </c>
    </row>
    <row r="282" spans="1:19" ht="15.75">
      <c r="A282" s="134"/>
      <c r="B282" s="187" t="s">
        <v>1299</v>
      </c>
      <c r="C282" s="100"/>
      <c r="D282" s="461" t="s">
        <v>1103</v>
      </c>
      <c r="E282" s="422">
        <f>'Тарифные ставки'!$B$5</f>
        <v>137.4825</v>
      </c>
      <c r="F282" s="553">
        <v>3.38</v>
      </c>
      <c r="G282" s="551">
        <f>E282*F282</f>
        <v>464.69084999999995</v>
      </c>
      <c r="H282" s="424">
        <f>G282*'Тарифные ставки'!$B$13</f>
        <v>1198.9023929999998</v>
      </c>
      <c r="I282" s="424">
        <f>H282*'Тарифные ставки'!$B$14*'Тарифные ставки'!$B$15</f>
        <v>1453.0697003159999</v>
      </c>
      <c r="J282" s="551">
        <f>I282-I282/'Тарифные ставки'!$B$15</f>
        <v>242.17828338599998</v>
      </c>
      <c r="K282" s="544">
        <v>1215.5473044</v>
      </c>
      <c r="L282" s="424">
        <f t="shared" si="16"/>
        <v>19.54036630711316</v>
      </c>
      <c r="S282" s="361">
        <f t="shared" si="17"/>
        <v>0</v>
      </c>
    </row>
    <row r="283" spans="1:19" ht="15.75">
      <c r="A283" s="134"/>
      <c r="B283" s="187" t="s">
        <v>1080</v>
      </c>
      <c r="C283" s="100"/>
      <c r="D283" s="461" t="s">
        <v>1103</v>
      </c>
      <c r="E283" s="422">
        <f>'Тарифные ставки'!$B$5</f>
        <v>137.4825</v>
      </c>
      <c r="F283" s="553">
        <v>4</v>
      </c>
      <c r="G283" s="551">
        <f>E283*F283</f>
        <v>549.93</v>
      </c>
      <c r="H283" s="424">
        <f>G283*'Тарифные ставки'!$B$13</f>
        <v>1418.8193999999999</v>
      </c>
      <c r="I283" s="424">
        <f>H283*'Тарифные ставки'!$B$14*'Тарифные ставки'!$B$15</f>
        <v>1719.6091127999998</v>
      </c>
      <c r="J283" s="551">
        <f>I283-I283/'Тарифные ставки'!$B$15</f>
        <v>286.6015187999999</v>
      </c>
      <c r="K283" s="544">
        <v>1438.51752</v>
      </c>
      <c r="L283" s="424">
        <f t="shared" si="16"/>
        <v>19.54036630711316</v>
      </c>
      <c r="S283" s="361">
        <f t="shared" si="17"/>
        <v>0</v>
      </c>
    </row>
    <row r="284" spans="1:19" ht="15.75">
      <c r="A284" s="135"/>
      <c r="B284" s="189" t="s">
        <v>1289</v>
      </c>
      <c r="C284" s="95"/>
      <c r="D284" s="461" t="s">
        <v>1103</v>
      </c>
      <c r="E284" s="422">
        <f>'Тарифные ставки'!$B$5</f>
        <v>137.4825</v>
      </c>
      <c r="F284" s="554">
        <v>4.78</v>
      </c>
      <c r="G284" s="548">
        <f>E284*F284</f>
        <v>657.16635</v>
      </c>
      <c r="H284" s="424">
        <f>G284*'Тарифные ставки'!$B$13</f>
        <v>1695.489183</v>
      </c>
      <c r="I284" s="424">
        <f>H284*'Тарифные ставки'!$B$14*'Тарифные ставки'!$B$15</f>
        <v>2054.932889796</v>
      </c>
      <c r="J284" s="548">
        <f>I284-I284/'Тарифные ставки'!$B$15</f>
        <v>342.48881496599984</v>
      </c>
      <c r="K284" s="544">
        <v>1719.0284364000004</v>
      </c>
      <c r="L284" s="424">
        <f t="shared" si="16"/>
        <v>19.540366307113132</v>
      </c>
      <c r="S284" s="361">
        <f t="shared" si="17"/>
        <v>0</v>
      </c>
    </row>
    <row r="285" spans="1:19" ht="31.5">
      <c r="A285" s="133" t="s">
        <v>2132</v>
      </c>
      <c r="B285" s="186" t="s">
        <v>18</v>
      </c>
      <c r="C285" s="94" t="s">
        <v>1764</v>
      </c>
      <c r="D285" s="94"/>
      <c r="E285" s="422"/>
      <c r="F285" s="546"/>
      <c r="G285" s="547"/>
      <c r="H285" s="424"/>
      <c r="I285" s="424"/>
      <c r="J285" s="547"/>
      <c r="K285" s="545"/>
      <c r="L285" s="538"/>
      <c r="S285" s="361" t="e">
        <f t="shared" si="17"/>
        <v>#DIV/0!</v>
      </c>
    </row>
    <row r="286" spans="1:19" ht="15.75">
      <c r="A286" s="134"/>
      <c r="B286" s="187" t="s">
        <v>16</v>
      </c>
      <c r="C286" s="100"/>
      <c r="D286" s="461" t="s">
        <v>1103</v>
      </c>
      <c r="E286" s="422">
        <f>'Тарифные ставки'!$B$5</f>
        <v>137.4825</v>
      </c>
      <c r="F286" s="553">
        <v>0.86</v>
      </c>
      <c r="G286" s="551">
        <f>E286*F286</f>
        <v>118.23494999999998</v>
      </c>
      <c r="H286" s="424">
        <f>G286*'Тарифные ставки'!$B$13</f>
        <v>305.04617099999996</v>
      </c>
      <c r="I286" s="424">
        <f>H286*'Тарифные ставки'!$B$14*'Тарифные ставки'!$B$15</f>
        <v>369.7159592519999</v>
      </c>
      <c r="J286" s="551">
        <f>I286-I286/'Тарифные ставки'!$B$15</f>
        <v>61.61932654199995</v>
      </c>
      <c r="K286" s="544">
        <v>309.2812668</v>
      </c>
      <c r="L286" s="424">
        <f t="shared" si="16"/>
        <v>19.540366307113132</v>
      </c>
      <c r="S286" s="361">
        <f t="shared" si="17"/>
        <v>0</v>
      </c>
    </row>
    <row r="287" spans="1:19" ht="15.75">
      <c r="A287" s="134"/>
      <c r="B287" s="187" t="s">
        <v>1299</v>
      </c>
      <c r="C287" s="100"/>
      <c r="D287" s="461" t="s">
        <v>1103</v>
      </c>
      <c r="E287" s="422">
        <f>'Тарифные ставки'!$B$5</f>
        <v>137.4825</v>
      </c>
      <c r="F287" s="553">
        <v>1.02</v>
      </c>
      <c r="G287" s="551">
        <f>E287*F287</f>
        <v>140.23215</v>
      </c>
      <c r="H287" s="424">
        <f>G287*'Тарифные ставки'!$B$13</f>
        <v>361.798947</v>
      </c>
      <c r="I287" s="424">
        <f>H287*'Тарифные ставки'!$B$14*'Тарифные ставки'!$B$15</f>
        <v>438.500323764</v>
      </c>
      <c r="J287" s="551">
        <f>I287-I287/'Тарифные ставки'!$B$15</f>
        <v>73.08338729399998</v>
      </c>
      <c r="K287" s="544">
        <v>366.82196760000005</v>
      </c>
      <c r="L287" s="424">
        <f t="shared" si="16"/>
        <v>19.54036630711316</v>
      </c>
      <c r="S287" s="361">
        <f t="shared" si="17"/>
        <v>0</v>
      </c>
    </row>
    <row r="288" spans="1:19" ht="15.75">
      <c r="A288" s="134"/>
      <c r="B288" s="187" t="s">
        <v>1080</v>
      </c>
      <c r="C288" s="100"/>
      <c r="D288" s="461" t="s">
        <v>1103</v>
      </c>
      <c r="E288" s="422">
        <f>'Тарифные ставки'!$B$5</f>
        <v>137.4825</v>
      </c>
      <c r="F288" s="553">
        <v>1.2</v>
      </c>
      <c r="G288" s="551">
        <f>E288*F288</f>
        <v>164.97899999999998</v>
      </c>
      <c r="H288" s="424">
        <f>G288*'Тарифные ставки'!$B$13</f>
        <v>425.64581999999996</v>
      </c>
      <c r="I288" s="424">
        <f>H288*'Тарифные ставки'!$B$14*'Тарифные ставки'!$B$15</f>
        <v>515.8827338399999</v>
      </c>
      <c r="J288" s="551">
        <f>I288-I288/'Тарифные ставки'!$B$15</f>
        <v>85.98045563999995</v>
      </c>
      <c r="K288" s="544">
        <v>431.5552560000001</v>
      </c>
      <c r="L288" s="424">
        <f t="shared" si="16"/>
        <v>19.540366307113132</v>
      </c>
      <c r="S288" s="361">
        <f t="shared" si="17"/>
        <v>0</v>
      </c>
    </row>
    <row r="289" spans="1:19" ht="15.75">
      <c r="A289" s="135"/>
      <c r="B289" s="189" t="s">
        <v>1289</v>
      </c>
      <c r="C289" s="95"/>
      <c r="D289" s="461" t="s">
        <v>1103</v>
      </c>
      <c r="E289" s="422">
        <f>'Тарифные ставки'!$B$5</f>
        <v>137.4825</v>
      </c>
      <c r="F289" s="554">
        <v>1.44</v>
      </c>
      <c r="G289" s="548">
        <f>E289*F289</f>
        <v>197.9748</v>
      </c>
      <c r="H289" s="424">
        <f>G289*'Тарифные ставки'!$B$13</f>
        <v>510.77498399999996</v>
      </c>
      <c r="I289" s="424">
        <f>H289*'Тарифные ставки'!$B$14*'Тарифные ставки'!$B$15</f>
        <v>619.059280608</v>
      </c>
      <c r="J289" s="548">
        <f>I289-I289/'Тарифные ставки'!$B$15</f>
        <v>103.17654676799998</v>
      </c>
      <c r="K289" s="544">
        <v>517.8663071999999</v>
      </c>
      <c r="L289" s="424">
        <f t="shared" si="16"/>
        <v>19.540366307113175</v>
      </c>
      <c r="S289" s="361">
        <f t="shared" si="17"/>
        <v>0</v>
      </c>
    </row>
    <row r="290" spans="1:19" ht="18" customHeight="1">
      <c r="A290" s="133" t="s">
        <v>2133</v>
      </c>
      <c r="B290" s="163" t="s">
        <v>1397</v>
      </c>
      <c r="C290" s="94" t="s">
        <v>1400</v>
      </c>
      <c r="D290" s="94"/>
      <c r="E290" s="422"/>
      <c r="F290" s="546"/>
      <c r="G290" s="547"/>
      <c r="H290" s="424"/>
      <c r="I290" s="424"/>
      <c r="J290" s="547"/>
      <c r="K290" s="545"/>
      <c r="L290" s="538"/>
      <c r="S290" s="361" t="e">
        <f t="shared" si="17"/>
        <v>#DIV/0!</v>
      </c>
    </row>
    <row r="291" spans="1:19" ht="15.75">
      <c r="A291" s="134"/>
      <c r="B291" s="164" t="s">
        <v>1398</v>
      </c>
      <c r="C291" s="100"/>
      <c r="D291" s="461" t="s">
        <v>1103</v>
      </c>
      <c r="E291" s="422">
        <f>'Тарифные ставки'!$B$5</f>
        <v>137.4825</v>
      </c>
      <c r="F291" s="553">
        <v>0.94</v>
      </c>
      <c r="G291" s="551">
        <f>E291*F291</f>
        <v>129.23354999999998</v>
      </c>
      <c r="H291" s="424">
        <f>G291*'Тарифные ставки'!$B$13</f>
        <v>333.422559</v>
      </c>
      <c r="I291" s="424">
        <f>H291*'Тарифные ставки'!$B$14*'Тарифные ставки'!$B$15</f>
        <v>404.10814150799996</v>
      </c>
      <c r="J291" s="551">
        <f>I291-I291/'Тарифные ставки'!$B$15</f>
        <v>67.35135691799996</v>
      </c>
      <c r="K291" s="544">
        <v>338.05161720000007</v>
      </c>
      <c r="L291" s="424">
        <f t="shared" si="16"/>
        <v>19.540366307113132</v>
      </c>
      <c r="S291" s="361">
        <f t="shared" si="17"/>
        <v>0</v>
      </c>
    </row>
    <row r="292" spans="1:19" ht="15.75">
      <c r="A292" s="135"/>
      <c r="B292" s="165" t="s">
        <v>1399</v>
      </c>
      <c r="C292" s="95"/>
      <c r="D292" s="461" t="s">
        <v>1103</v>
      </c>
      <c r="E292" s="422">
        <f>'Тарифные ставки'!$B$5</f>
        <v>137.4825</v>
      </c>
      <c r="F292" s="554">
        <v>1.3</v>
      </c>
      <c r="G292" s="548">
        <f>E292*F292</f>
        <v>178.72725</v>
      </c>
      <c r="H292" s="424">
        <f>G292*'Тарифные ставки'!$B$13</f>
        <v>461.116305</v>
      </c>
      <c r="I292" s="424">
        <f>H292*'Тарифные ставки'!$B$14*'Тарифные ставки'!$B$15</f>
        <v>558.87296166</v>
      </c>
      <c r="J292" s="548">
        <f>I292-I292/'Тарифные ставки'!$B$15</f>
        <v>93.14549360999996</v>
      </c>
      <c r="K292" s="544">
        <v>467.518194</v>
      </c>
      <c r="L292" s="424">
        <f t="shared" si="16"/>
        <v>19.540366307113175</v>
      </c>
      <c r="S292" s="361">
        <f t="shared" si="17"/>
        <v>0</v>
      </c>
    </row>
    <row r="293" spans="1:19" ht="63">
      <c r="A293" s="459" t="s">
        <v>83</v>
      </c>
      <c r="B293" s="371" t="s">
        <v>82</v>
      </c>
      <c r="C293" s="371" t="s">
        <v>77</v>
      </c>
      <c r="D293" s="371" t="s">
        <v>81</v>
      </c>
      <c r="E293" s="388" t="s">
        <v>85</v>
      </c>
      <c r="F293" s="477" t="s">
        <v>78</v>
      </c>
      <c r="G293" s="477" t="s">
        <v>79</v>
      </c>
      <c r="H293" s="477" t="s">
        <v>80</v>
      </c>
      <c r="I293" s="382" t="s">
        <v>843</v>
      </c>
      <c r="J293" s="382" t="s">
        <v>2349</v>
      </c>
      <c r="K293" s="535"/>
      <c r="L293" s="538"/>
      <c r="S293" s="361" t="e">
        <f t="shared" si="17"/>
        <v>#VALUE!</v>
      </c>
    </row>
    <row r="294" spans="1:19" ht="33.75" customHeight="1">
      <c r="A294" s="136" t="s">
        <v>19</v>
      </c>
      <c r="B294" s="185" t="s">
        <v>1401</v>
      </c>
      <c r="C294" s="93" t="s">
        <v>1859</v>
      </c>
      <c r="D294" s="463" t="s">
        <v>1103</v>
      </c>
      <c r="E294" s="422">
        <f>'Тарифные ставки'!$B$5</f>
        <v>137.4825</v>
      </c>
      <c r="F294" s="422">
        <v>0.65</v>
      </c>
      <c r="G294" s="544">
        <f aca="true" t="shared" si="19" ref="G294:G310">E294*F294</f>
        <v>89.363625</v>
      </c>
      <c r="H294" s="424">
        <f>G294*'Тарифные ставки'!$B$13</f>
        <v>230.5581525</v>
      </c>
      <c r="I294" s="424">
        <f>H294*'Тарифные ставки'!$B$14*'Тарифные ставки'!$B$15</f>
        <v>279.43648083</v>
      </c>
      <c r="J294" s="544">
        <f>I294-I294/'Тарифные ставки'!$B$15</f>
        <v>46.57274680499998</v>
      </c>
      <c r="K294" s="544">
        <v>233.759097</v>
      </c>
      <c r="L294" s="424">
        <f t="shared" si="16"/>
        <v>19.540366307113175</v>
      </c>
      <c r="S294" s="361">
        <f t="shared" si="17"/>
        <v>0</v>
      </c>
    </row>
    <row r="295" spans="1:19" ht="63" customHeight="1">
      <c r="A295" s="136" t="s">
        <v>1385</v>
      </c>
      <c r="B295" s="185" t="s">
        <v>2421</v>
      </c>
      <c r="C295" s="93" t="s">
        <v>75</v>
      </c>
      <c r="D295" s="463" t="s">
        <v>1103</v>
      </c>
      <c r="E295" s="422">
        <f>'Тарифные ставки'!$B$5</f>
        <v>137.4825</v>
      </c>
      <c r="F295" s="422">
        <v>0.5</v>
      </c>
      <c r="G295" s="544">
        <f t="shared" si="19"/>
        <v>68.74125</v>
      </c>
      <c r="H295" s="424">
        <f>G295*'Тарифные ставки'!$B$13</f>
        <v>177.35242499999998</v>
      </c>
      <c r="I295" s="424">
        <f>H295*'Тарифные ставки'!$B$14*'Тарифные ставки'!$B$15</f>
        <v>214.95113909999998</v>
      </c>
      <c r="J295" s="544">
        <f>I295-I295/'Тарифные ставки'!$B$15</f>
        <v>35.82518984999999</v>
      </c>
      <c r="K295" s="544">
        <v>179.81469</v>
      </c>
      <c r="L295" s="424">
        <f t="shared" si="16"/>
        <v>19.54036630711316</v>
      </c>
      <c r="S295" s="361">
        <f t="shared" si="17"/>
        <v>0</v>
      </c>
    </row>
    <row r="296" spans="1:19" ht="47.25">
      <c r="A296" s="136" t="s">
        <v>1386</v>
      </c>
      <c r="B296" s="185" t="s">
        <v>1402</v>
      </c>
      <c r="C296" s="93" t="s">
        <v>75</v>
      </c>
      <c r="D296" s="463" t="s">
        <v>1103</v>
      </c>
      <c r="E296" s="422">
        <f>'Тарифные ставки'!$B$5</f>
        <v>137.4825</v>
      </c>
      <c r="F296" s="422">
        <v>0.33</v>
      </c>
      <c r="G296" s="544">
        <f t="shared" si="19"/>
        <v>45.369225</v>
      </c>
      <c r="H296" s="424">
        <f>G296*'Тарифные ставки'!$B$13</f>
        <v>117.0526005</v>
      </c>
      <c r="I296" s="424">
        <f>H296*'Тарифные ставки'!$B$14*'Тарифные ставки'!$B$15</f>
        <v>141.867751806</v>
      </c>
      <c r="J296" s="544">
        <f>I296-I296/'Тарифные ставки'!$B$15</f>
        <v>23.64462530099999</v>
      </c>
      <c r="K296" s="544">
        <v>118.6776954</v>
      </c>
      <c r="L296" s="424">
        <f t="shared" si="16"/>
        <v>19.540366307113175</v>
      </c>
      <c r="M296" s="3">
        <v>121</v>
      </c>
      <c r="S296" s="361">
        <f t="shared" si="17"/>
        <v>0</v>
      </c>
    </row>
    <row r="297" spans="1:19" ht="47.25">
      <c r="A297" s="136" t="s">
        <v>1387</v>
      </c>
      <c r="B297" s="185" t="s">
        <v>1403</v>
      </c>
      <c r="C297" s="93" t="s">
        <v>75</v>
      </c>
      <c r="D297" s="463" t="s">
        <v>1103</v>
      </c>
      <c r="E297" s="422">
        <f>'Тарифные ставки'!$B$5</f>
        <v>137.4825</v>
      </c>
      <c r="F297" s="422">
        <v>0.25</v>
      </c>
      <c r="G297" s="544">
        <f t="shared" si="19"/>
        <v>34.370625</v>
      </c>
      <c r="H297" s="424">
        <f>G297*'Тарифные ставки'!$B$13</f>
        <v>88.67621249999999</v>
      </c>
      <c r="I297" s="424">
        <f>H297*'Тарифные ставки'!$B$14*'Тарифные ставки'!$B$15</f>
        <v>107.47556954999999</v>
      </c>
      <c r="J297" s="544">
        <f>I297-I297/'Тарифные ставки'!$B$15</f>
        <v>17.912594924999993</v>
      </c>
      <c r="K297" s="544">
        <v>89.907345</v>
      </c>
      <c r="L297" s="424">
        <f t="shared" si="16"/>
        <v>19.54036630711316</v>
      </c>
      <c r="M297" s="3">
        <v>91</v>
      </c>
      <c r="S297" s="361">
        <f t="shared" si="17"/>
        <v>0</v>
      </c>
    </row>
    <row r="298" spans="1:19" ht="63">
      <c r="A298" s="136" t="s">
        <v>1388</v>
      </c>
      <c r="B298" s="185" t="s">
        <v>1634</v>
      </c>
      <c r="C298" s="93" t="s">
        <v>1052</v>
      </c>
      <c r="D298" s="463" t="s">
        <v>1103</v>
      </c>
      <c r="E298" s="422">
        <f>'Тарифные ставки'!$B$5</f>
        <v>137.4825</v>
      </c>
      <c r="F298" s="422">
        <v>0.65</v>
      </c>
      <c r="G298" s="544">
        <f t="shared" si="19"/>
        <v>89.363625</v>
      </c>
      <c r="H298" s="424">
        <f>G298*'Тарифные ставки'!$B$13</f>
        <v>230.5581525</v>
      </c>
      <c r="I298" s="424">
        <f>H298*'Тарифные ставки'!$B$14*'Тарифные ставки'!$B$15</f>
        <v>279.43648083</v>
      </c>
      <c r="J298" s="544">
        <f>I298-I298/'Тарифные ставки'!$B$15</f>
        <v>46.57274680499998</v>
      </c>
      <c r="K298" s="544">
        <v>233.759097</v>
      </c>
      <c r="L298" s="424">
        <f t="shared" si="16"/>
        <v>19.540366307113175</v>
      </c>
      <c r="M298" s="3">
        <v>237</v>
      </c>
      <c r="S298" s="361">
        <f t="shared" si="17"/>
        <v>0</v>
      </c>
    </row>
    <row r="299" spans="1:19" ht="15.75">
      <c r="A299" s="136" t="s">
        <v>1389</v>
      </c>
      <c r="B299" s="185" t="s">
        <v>1635</v>
      </c>
      <c r="C299" s="93" t="s">
        <v>1052</v>
      </c>
      <c r="D299" s="463" t="s">
        <v>1103</v>
      </c>
      <c r="E299" s="422">
        <f>'Тарифные ставки'!$B$5</f>
        <v>137.4825</v>
      </c>
      <c r="F299" s="422">
        <v>1.04</v>
      </c>
      <c r="G299" s="544">
        <f t="shared" si="19"/>
        <v>142.9818</v>
      </c>
      <c r="H299" s="424">
        <f>G299*'Тарифные ставки'!$B$13</f>
        <v>368.893044</v>
      </c>
      <c r="I299" s="424">
        <f>H299*'Тарифные ставки'!$B$14*'Тарифные ставки'!$B$15</f>
        <v>447.09836932799993</v>
      </c>
      <c r="J299" s="544">
        <f>I299-I299/'Тарифные ставки'!$B$15</f>
        <v>74.51639488799998</v>
      </c>
      <c r="K299" s="544">
        <v>374.0145552</v>
      </c>
      <c r="L299" s="424">
        <f t="shared" si="16"/>
        <v>19.54036630711316</v>
      </c>
      <c r="S299" s="361">
        <f t="shared" si="17"/>
        <v>0</v>
      </c>
    </row>
    <row r="300" spans="1:19" ht="15.75">
      <c r="A300" s="136" t="s">
        <v>1390</v>
      </c>
      <c r="B300" s="185" t="s">
        <v>1636</v>
      </c>
      <c r="C300" s="93" t="s">
        <v>814</v>
      </c>
      <c r="D300" s="463" t="s">
        <v>1103</v>
      </c>
      <c r="E300" s="422">
        <f>'Тарифные ставки'!$B$5</f>
        <v>137.4825</v>
      </c>
      <c r="F300" s="422">
        <v>0.39</v>
      </c>
      <c r="G300" s="544">
        <f t="shared" si="19"/>
        <v>53.618174999999994</v>
      </c>
      <c r="H300" s="424">
        <f>G300*'Тарифные ставки'!$B$13</f>
        <v>138.3348915</v>
      </c>
      <c r="I300" s="424">
        <f>H300*'Тарифные ставки'!$B$14*'Тарифные ставки'!$B$15</f>
        <v>167.661888498</v>
      </c>
      <c r="J300" s="544">
        <f>I300-I300/'Тарифные ставки'!$B$15</f>
        <v>27.943648083</v>
      </c>
      <c r="K300" s="544">
        <v>140.25545820000002</v>
      </c>
      <c r="L300" s="424">
        <f t="shared" si="16"/>
        <v>19.54036630711316</v>
      </c>
      <c r="S300" s="361">
        <f t="shared" si="17"/>
        <v>0</v>
      </c>
    </row>
    <row r="301" spans="1:19" ht="15.75">
      <c r="A301" s="136" t="s">
        <v>1391</v>
      </c>
      <c r="B301" s="185" t="s">
        <v>1637</v>
      </c>
      <c r="C301" s="93" t="s">
        <v>814</v>
      </c>
      <c r="D301" s="463" t="s">
        <v>1103</v>
      </c>
      <c r="E301" s="422">
        <f>'Тарифные ставки'!$B$5</f>
        <v>137.4825</v>
      </c>
      <c r="F301" s="422">
        <v>0.52</v>
      </c>
      <c r="G301" s="544">
        <f t="shared" si="19"/>
        <v>71.4909</v>
      </c>
      <c r="H301" s="424">
        <f>G301*'Тарифные ставки'!$B$13</f>
        <v>184.446522</v>
      </c>
      <c r="I301" s="424">
        <f>H301*'Тарифные ставки'!$B$14*'Тарифные ставки'!$B$15</f>
        <v>223.54918466399997</v>
      </c>
      <c r="J301" s="544">
        <f>I301-I301/'Тарифные ставки'!$B$15</f>
        <v>37.25819744399999</v>
      </c>
      <c r="K301" s="544">
        <v>187.0072776</v>
      </c>
      <c r="L301" s="424">
        <f t="shared" si="16"/>
        <v>19.54036630711316</v>
      </c>
      <c r="S301" s="361">
        <f t="shared" si="17"/>
        <v>0</v>
      </c>
    </row>
    <row r="302" spans="1:19" ht="31.5">
      <c r="A302" s="136" t="s">
        <v>1392</v>
      </c>
      <c r="B302" s="185" t="s">
        <v>1638</v>
      </c>
      <c r="C302" s="93" t="s">
        <v>814</v>
      </c>
      <c r="D302" s="463" t="s">
        <v>1103</v>
      </c>
      <c r="E302" s="422">
        <f>'Тарифные ставки'!$B$5</f>
        <v>137.4825</v>
      </c>
      <c r="F302" s="422">
        <v>0.2</v>
      </c>
      <c r="G302" s="544">
        <f t="shared" si="19"/>
        <v>27.496499999999997</v>
      </c>
      <c r="H302" s="424">
        <f>G302*'Тарифные ставки'!$B$13</f>
        <v>70.94097</v>
      </c>
      <c r="I302" s="424">
        <f>H302*'Тарифные ставки'!$B$14*'Тарифные ставки'!$B$15</f>
        <v>85.98045563999999</v>
      </c>
      <c r="J302" s="544">
        <f>I302-I302/'Тарифные ставки'!$B$15</f>
        <v>14.33007594</v>
      </c>
      <c r="K302" s="544">
        <v>71.92587600000002</v>
      </c>
      <c r="L302" s="424">
        <f t="shared" si="16"/>
        <v>19.540366307113132</v>
      </c>
      <c r="S302" s="361">
        <f t="shared" si="17"/>
        <v>0</v>
      </c>
    </row>
    <row r="303" spans="1:19" ht="15.75">
      <c r="A303" s="133" t="s">
        <v>1393</v>
      </c>
      <c r="B303" s="163" t="s">
        <v>1949</v>
      </c>
      <c r="C303" s="94" t="s">
        <v>812</v>
      </c>
      <c r="D303" s="523" t="s">
        <v>1103</v>
      </c>
      <c r="E303" s="422">
        <f>'Тарифные ставки'!$B$5</f>
        <v>137.4825</v>
      </c>
      <c r="F303" s="546">
        <v>1.46</v>
      </c>
      <c r="G303" s="547">
        <f t="shared" si="19"/>
        <v>200.72445</v>
      </c>
      <c r="H303" s="424">
        <f>G303*'Тарифные ставки'!$B$13</f>
        <v>517.8690809999999</v>
      </c>
      <c r="I303" s="424">
        <f>H303*'Тарифные ставки'!$B$14*'Тарифные ставки'!$B$15</f>
        <v>627.6573261719999</v>
      </c>
      <c r="J303" s="547">
        <f>I303-I303/'Тарифные ставки'!$B$15</f>
        <v>104.60955436199993</v>
      </c>
      <c r="K303" s="544">
        <v>525.0588948000001</v>
      </c>
      <c r="L303" s="424">
        <f t="shared" si="16"/>
        <v>19.540366307113132</v>
      </c>
      <c r="S303" s="361">
        <f t="shared" si="17"/>
        <v>0</v>
      </c>
    </row>
    <row r="304" spans="1:19" ht="15.75">
      <c r="A304" s="134"/>
      <c r="B304" s="164" t="s">
        <v>1639</v>
      </c>
      <c r="C304" s="100"/>
      <c r="D304" s="461" t="s">
        <v>1103</v>
      </c>
      <c r="E304" s="422">
        <f>'Тарифные ставки'!$B$5</f>
        <v>137.4825</v>
      </c>
      <c r="F304" s="553">
        <v>1.69</v>
      </c>
      <c r="G304" s="551">
        <f>E304*F304</f>
        <v>232.34542499999998</v>
      </c>
      <c r="H304" s="424">
        <f>G304*'Тарифные ставки'!$B$13</f>
        <v>599.4511964999999</v>
      </c>
      <c r="I304" s="424">
        <f>H304*'Тарифные ставки'!$B$14*'Тарифные ставки'!$B$15</f>
        <v>726.5348501579999</v>
      </c>
      <c r="J304" s="551">
        <f>I304-I304/'Тарифные ставки'!$B$15</f>
        <v>121.08914169299999</v>
      </c>
      <c r="K304" s="544">
        <v>607.7736522</v>
      </c>
      <c r="L304" s="424">
        <f t="shared" si="16"/>
        <v>19.54036630711316</v>
      </c>
      <c r="S304" s="361">
        <f t="shared" si="17"/>
        <v>0</v>
      </c>
    </row>
    <row r="305" spans="1:19" ht="15.75">
      <c r="A305" s="135"/>
      <c r="B305" s="165" t="s">
        <v>1289</v>
      </c>
      <c r="C305" s="95"/>
      <c r="D305" s="462" t="s">
        <v>1103</v>
      </c>
      <c r="E305" s="422">
        <f>'Тарифные ставки'!$B$5</f>
        <v>137.4825</v>
      </c>
      <c r="F305" s="554">
        <v>1.85</v>
      </c>
      <c r="G305" s="548">
        <f>E305*F305</f>
        <v>254.342625</v>
      </c>
      <c r="H305" s="424">
        <f>G305*'Тарифные ставки'!$B$13</f>
        <v>656.2039725</v>
      </c>
      <c r="I305" s="424">
        <f>H305*'Тарифные ставки'!$B$14*'Тарифные ставки'!$B$15</f>
        <v>795.31921467</v>
      </c>
      <c r="J305" s="548">
        <f>I305-I305/'Тарифные ставки'!$B$15</f>
        <v>132.553202445</v>
      </c>
      <c r="K305" s="544">
        <v>665.3143530000001</v>
      </c>
      <c r="L305" s="424">
        <f t="shared" si="16"/>
        <v>19.54036630711316</v>
      </c>
      <c r="S305" s="361">
        <f t="shared" si="17"/>
        <v>0</v>
      </c>
    </row>
    <row r="306" spans="1:19" ht="15.75">
      <c r="A306" s="133" t="s">
        <v>1394</v>
      </c>
      <c r="B306" s="163" t="s">
        <v>1950</v>
      </c>
      <c r="C306" s="94" t="s">
        <v>812</v>
      </c>
      <c r="D306" s="523" t="s">
        <v>1103</v>
      </c>
      <c r="E306" s="422">
        <f>'Тарифные ставки'!$B$5</f>
        <v>137.4825</v>
      </c>
      <c r="F306" s="546">
        <v>0.17</v>
      </c>
      <c r="G306" s="547">
        <f>E306*F306</f>
        <v>23.372025</v>
      </c>
      <c r="H306" s="424">
        <f>G306*'Тарифные ставки'!$B$13</f>
        <v>60.29982450000001</v>
      </c>
      <c r="I306" s="424">
        <f>H306*'Тарифные ставки'!$B$14*'Тарифные ставки'!$B$15</f>
        <v>73.083387294</v>
      </c>
      <c r="J306" s="547">
        <f>I306-I306/'Тарифные ставки'!$B$15</f>
        <v>12.180564548999996</v>
      </c>
      <c r="K306" s="544">
        <v>61.13699460000001</v>
      </c>
      <c r="L306" s="424">
        <f t="shared" si="16"/>
        <v>19.54036630711316</v>
      </c>
      <c r="S306" s="361">
        <f t="shared" si="17"/>
        <v>0</v>
      </c>
    </row>
    <row r="307" spans="1:19" ht="15.75">
      <c r="A307" s="134"/>
      <c r="B307" s="164" t="s">
        <v>1639</v>
      </c>
      <c r="C307" s="100"/>
      <c r="D307" s="461" t="s">
        <v>1103</v>
      </c>
      <c r="E307" s="422">
        <f>'Тарифные ставки'!$B$5</f>
        <v>137.4825</v>
      </c>
      <c r="F307" s="553">
        <v>0.22</v>
      </c>
      <c r="G307" s="551">
        <f>E307*F307</f>
        <v>30.246149999999997</v>
      </c>
      <c r="H307" s="424">
        <f>G307*'Тарифные ставки'!$B$13</f>
        <v>78.035067</v>
      </c>
      <c r="I307" s="424">
        <f>H307*'Тарифные ставки'!$B$14*'Тарифные ставки'!$B$15</f>
        <v>94.578501204</v>
      </c>
      <c r="J307" s="551">
        <f>I307-I307/'Тарифные ставки'!$B$15</f>
        <v>15.763083534000003</v>
      </c>
      <c r="K307" s="544">
        <v>79.11846360000001</v>
      </c>
      <c r="L307" s="424">
        <f t="shared" si="16"/>
        <v>19.54036630711316</v>
      </c>
      <c r="S307" s="361">
        <f t="shared" si="17"/>
        <v>0</v>
      </c>
    </row>
    <row r="308" spans="1:19" ht="15.75">
      <c r="A308" s="135"/>
      <c r="B308" s="165" t="s">
        <v>1289</v>
      </c>
      <c r="C308" s="95"/>
      <c r="D308" s="462" t="s">
        <v>1103</v>
      </c>
      <c r="E308" s="422">
        <f>'Тарифные ставки'!$B$5</f>
        <v>137.4825</v>
      </c>
      <c r="F308" s="554">
        <v>0.3</v>
      </c>
      <c r="G308" s="548">
        <f>E308*F308</f>
        <v>41.244749999999996</v>
      </c>
      <c r="H308" s="424">
        <f>G308*'Тарифные ставки'!$B$13</f>
        <v>106.41145499999999</v>
      </c>
      <c r="I308" s="424">
        <f>H308*'Тарифные ставки'!$B$14*'Тарифные ставки'!$B$15</f>
        <v>128.97068345999998</v>
      </c>
      <c r="J308" s="548">
        <f>I308-I308/'Тарифные ставки'!$B$15</f>
        <v>21.495113909999986</v>
      </c>
      <c r="K308" s="544">
        <v>107.88881400000002</v>
      </c>
      <c r="L308" s="424">
        <f t="shared" si="16"/>
        <v>19.540366307113132</v>
      </c>
      <c r="S308" s="361">
        <f t="shared" si="17"/>
        <v>0</v>
      </c>
    </row>
    <row r="309" spans="1:19" ht="31.5">
      <c r="A309" s="136" t="s">
        <v>1395</v>
      </c>
      <c r="B309" s="185" t="s">
        <v>1951</v>
      </c>
      <c r="C309" s="93" t="s">
        <v>814</v>
      </c>
      <c r="D309" s="463" t="s">
        <v>1103</v>
      </c>
      <c r="E309" s="422">
        <f>'Тарифные ставки'!$B$5</f>
        <v>137.4825</v>
      </c>
      <c r="F309" s="422">
        <v>0.5</v>
      </c>
      <c r="G309" s="544">
        <f t="shared" si="19"/>
        <v>68.74125</v>
      </c>
      <c r="H309" s="424">
        <f>G309*'Тарифные ставки'!$B$13</f>
        <v>177.35242499999998</v>
      </c>
      <c r="I309" s="424">
        <f>H309*'Тарифные ставки'!$B$14*'Тарифные ставки'!$B$15</f>
        <v>214.95113909999998</v>
      </c>
      <c r="J309" s="544">
        <f>I309-I309/'Тарифные ставки'!$B$15</f>
        <v>35.82518984999999</v>
      </c>
      <c r="K309" s="544">
        <v>179.81469</v>
      </c>
      <c r="L309" s="424">
        <f t="shared" si="16"/>
        <v>19.54036630711316</v>
      </c>
      <c r="M309" s="3">
        <v>181</v>
      </c>
      <c r="S309" s="361">
        <f t="shared" si="17"/>
        <v>0</v>
      </c>
    </row>
    <row r="310" spans="1:19" ht="31.5">
      <c r="A310" s="136" t="s">
        <v>1396</v>
      </c>
      <c r="B310" s="185" t="s">
        <v>2422</v>
      </c>
      <c r="C310" s="93" t="s">
        <v>75</v>
      </c>
      <c r="D310" s="461" t="s">
        <v>1103</v>
      </c>
      <c r="E310" s="422">
        <f>'Тарифные ставки'!$B$5</f>
        <v>137.4825</v>
      </c>
      <c r="F310" s="422">
        <v>0.32</v>
      </c>
      <c r="G310" s="544">
        <f t="shared" si="19"/>
        <v>43.9944</v>
      </c>
      <c r="H310" s="424">
        <f>G310*'Тарифные ставки'!$B$13</f>
        <v>113.505552</v>
      </c>
      <c r="I310" s="424">
        <f>H310*'Тарифные ставки'!$B$14*'Тарифные ставки'!$B$15</f>
        <v>137.568729024</v>
      </c>
      <c r="J310" s="544">
        <f>I310-I310/'Тарифные ставки'!$B$15</f>
        <v>22.92812150399999</v>
      </c>
      <c r="K310" s="544">
        <v>115.08140159999999</v>
      </c>
      <c r="L310" s="424">
        <f t="shared" si="16"/>
        <v>19.540366307113175</v>
      </c>
      <c r="M310" s="3">
        <v>116</v>
      </c>
      <c r="S310" s="361">
        <f t="shared" si="17"/>
        <v>0</v>
      </c>
    </row>
    <row r="311" spans="1:12" ht="15.75" customHeight="1">
      <c r="A311" s="706" t="s">
        <v>1952</v>
      </c>
      <c r="B311" s="706"/>
      <c r="C311" s="706"/>
      <c r="D311" s="706"/>
      <c r="E311" s="706"/>
      <c r="F311" s="706"/>
      <c r="G311" s="706"/>
      <c r="H311" s="706"/>
      <c r="I311" s="706"/>
      <c r="J311" s="706"/>
      <c r="K311" s="536"/>
      <c r="L311" s="536"/>
    </row>
  </sheetData>
  <sheetProtection/>
  <autoFilter ref="I1:I311"/>
  <mergeCells count="11">
    <mergeCell ref="A1:J1"/>
    <mergeCell ref="A2:J2"/>
    <mergeCell ref="A3:J3"/>
    <mergeCell ref="A5:J5"/>
    <mergeCell ref="A52:J52"/>
    <mergeCell ref="A53:J53"/>
    <mergeCell ref="A55:J55"/>
    <mergeCell ref="A56:J56"/>
    <mergeCell ref="A58:J58"/>
    <mergeCell ref="A311:J311"/>
    <mergeCell ref="A54:J54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  <rowBreaks count="3" manualBreakCount="3">
    <brk id="57" max="255" man="1"/>
    <brk id="105" max="9" man="1"/>
    <brk id="20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5"/>
  <sheetViews>
    <sheetView view="pageBreakPreview" zoomScale="110" zoomScaleSheetLayoutView="110" zoomScalePageLayoutView="0" workbookViewId="0" topLeftCell="A70">
      <selection activeCell="A6" sqref="A6:IV6"/>
    </sheetView>
  </sheetViews>
  <sheetFormatPr defaultColWidth="9.00390625" defaultRowHeight="12.75"/>
  <cols>
    <col min="1" max="1" width="9.00390625" style="132" customWidth="1"/>
    <col min="2" max="2" width="58.125" style="3" customWidth="1"/>
    <col min="3" max="3" width="12.75390625" style="7" customWidth="1"/>
    <col min="4" max="4" width="12.75390625" style="3" hidden="1" customWidth="1"/>
    <col min="5" max="5" width="12.75390625" style="283" hidden="1" customWidth="1"/>
    <col min="6" max="8" width="12.75390625" style="3" hidden="1" customWidth="1"/>
    <col min="9" max="9" width="12.75390625" style="3" customWidth="1"/>
    <col min="10" max="10" width="12.25390625" style="3" customWidth="1"/>
    <col min="11" max="11" width="13.00390625" style="3" hidden="1" customWidth="1"/>
    <col min="12" max="12" width="10.75390625" style="3" hidden="1" customWidth="1"/>
    <col min="13" max="13" width="0" style="3" hidden="1" customWidth="1"/>
    <col min="14" max="16384" width="9.125" style="3" customWidth="1"/>
  </cols>
  <sheetData>
    <row r="1" spans="1:10" ht="15.75">
      <c r="A1" s="604" t="s">
        <v>1335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15.75">
      <c r="A2" s="604" t="s">
        <v>2032</v>
      </c>
      <c r="B2" s="604"/>
      <c r="C2" s="604"/>
      <c r="D2" s="604"/>
      <c r="E2" s="604"/>
      <c r="F2" s="604"/>
      <c r="G2" s="604"/>
      <c r="H2" s="604"/>
      <c r="I2" s="604"/>
      <c r="J2" s="604"/>
    </row>
    <row r="4" spans="1:10" ht="15.75">
      <c r="A4" s="604" t="s">
        <v>1660</v>
      </c>
      <c r="B4" s="604"/>
      <c r="C4" s="604"/>
      <c r="D4" s="604"/>
      <c r="E4" s="604"/>
      <c r="F4" s="604"/>
      <c r="G4" s="604"/>
      <c r="H4" s="604"/>
      <c r="I4" s="604"/>
      <c r="J4" s="604"/>
    </row>
    <row r="5" spans="1:10" ht="15.75">
      <c r="A5" s="604" t="s">
        <v>2359</v>
      </c>
      <c r="B5" s="604"/>
      <c r="C5" s="604"/>
      <c r="D5" s="604"/>
      <c r="E5" s="604"/>
      <c r="F5" s="604"/>
      <c r="G5" s="604"/>
      <c r="H5" s="604"/>
      <c r="I5" s="604"/>
      <c r="J5" s="604"/>
    </row>
    <row r="6" ht="15.75" hidden="1"/>
    <row r="7" spans="1:12" ht="63">
      <c r="A7" s="328" t="s">
        <v>83</v>
      </c>
      <c r="B7" s="313" t="s">
        <v>82</v>
      </c>
      <c r="C7" s="313" t="s">
        <v>77</v>
      </c>
      <c r="D7" s="313" t="s">
        <v>81</v>
      </c>
      <c r="E7" s="314" t="s">
        <v>85</v>
      </c>
      <c r="F7" s="314" t="s">
        <v>78</v>
      </c>
      <c r="G7" s="314" t="s">
        <v>79</v>
      </c>
      <c r="H7" s="314" t="s">
        <v>80</v>
      </c>
      <c r="I7" s="313" t="s">
        <v>843</v>
      </c>
      <c r="J7" s="313" t="s">
        <v>2349</v>
      </c>
      <c r="K7" s="556" t="s">
        <v>2386</v>
      </c>
      <c r="L7" s="467" t="s">
        <v>2385</v>
      </c>
    </row>
    <row r="8" spans="1:12" ht="18.75" customHeight="1">
      <c r="A8" s="139"/>
      <c r="B8" s="279" t="s">
        <v>442</v>
      </c>
      <c r="C8" s="338"/>
      <c r="D8" s="33"/>
      <c r="E8" s="276"/>
      <c r="F8" s="33"/>
      <c r="G8" s="33"/>
      <c r="H8" s="33"/>
      <c r="I8" s="33"/>
      <c r="J8" s="40"/>
      <c r="K8" s="13"/>
      <c r="L8" s="13"/>
    </row>
    <row r="9" spans="1:12" ht="15.75">
      <c r="A9" s="135" t="s">
        <v>1168</v>
      </c>
      <c r="B9" s="52" t="s">
        <v>2423</v>
      </c>
      <c r="C9" s="70" t="s">
        <v>1169</v>
      </c>
      <c r="D9" s="233" t="s">
        <v>2312</v>
      </c>
      <c r="E9" s="432">
        <f>'Тарифные ставки'!$B$5</f>
        <v>137.4825</v>
      </c>
      <c r="F9" s="561">
        <v>0.25</v>
      </c>
      <c r="G9" s="561">
        <f>E9*F9</f>
        <v>34.370625</v>
      </c>
      <c r="H9" s="561">
        <f>G9*'Тарифные ставки'!$B$13</f>
        <v>88.67621249999999</v>
      </c>
      <c r="I9" s="561">
        <f>H9*'Тарифные ставки'!B14*'Тарифные ставки'!B15</f>
        <v>107.47556954999999</v>
      </c>
      <c r="J9" s="424">
        <f>I9-I9/'Тарифные ставки'!$B$15</f>
        <v>17.912594924999993</v>
      </c>
      <c r="K9" s="491">
        <v>100.464646875</v>
      </c>
      <c r="L9" s="424">
        <f>I9/K9*100-100</f>
        <v>6.978497305348725</v>
      </c>
    </row>
    <row r="10" spans="1:12" ht="15.75">
      <c r="A10" s="135" t="s">
        <v>1170</v>
      </c>
      <c r="B10" s="61" t="s">
        <v>1171</v>
      </c>
      <c r="C10" s="74" t="s">
        <v>1172</v>
      </c>
      <c r="D10" s="233" t="s">
        <v>2312</v>
      </c>
      <c r="E10" s="432">
        <f>'Тарифные ставки'!$B$5</f>
        <v>137.4825</v>
      </c>
      <c r="F10" s="543">
        <v>0.25</v>
      </c>
      <c r="G10" s="543">
        <f>E10*F10</f>
        <v>34.370625</v>
      </c>
      <c r="H10" s="543">
        <f>G10*'Тарифные ставки'!$B$13</f>
        <v>88.67621249999999</v>
      </c>
      <c r="I10" s="543">
        <f>H10*'Тарифные ставки'!B14*'Тарифные ставки'!B15</f>
        <v>107.47556954999999</v>
      </c>
      <c r="J10" s="543">
        <f>I10-I10/'Тарифные ставки'!$B$15</f>
        <v>17.912594924999993</v>
      </c>
      <c r="K10" s="491">
        <v>100.464646875</v>
      </c>
      <c r="L10" s="424">
        <f aca="true" t="shared" si="0" ref="L10:L50">I10/K10*100-100</f>
        <v>6.978497305348725</v>
      </c>
    </row>
    <row r="11" spans="1:12" ht="31.5">
      <c r="A11" s="135" t="s">
        <v>1173</v>
      </c>
      <c r="B11" s="52" t="s">
        <v>1174</v>
      </c>
      <c r="C11" s="70" t="s">
        <v>667</v>
      </c>
      <c r="D11" s="233" t="s">
        <v>2312</v>
      </c>
      <c r="E11" s="564">
        <f>'Тарифные ставки'!$B$5</f>
        <v>137.4825</v>
      </c>
      <c r="F11" s="561">
        <v>0.03</v>
      </c>
      <c r="G11" s="561">
        <f aca="true" t="shared" si="1" ref="G11:G39">E11*F11</f>
        <v>4.1244749999999994</v>
      </c>
      <c r="H11" s="561">
        <f>G11*'Тарифные ставки'!$B$13</f>
        <v>10.641145499999999</v>
      </c>
      <c r="I11" s="561">
        <f>H11*'Тарифные ставки'!B14*'Тарифные ставки'!B15</f>
        <v>12.897068345999998</v>
      </c>
      <c r="J11" s="561">
        <f>I11-I11/'Тарифные ставки'!$B$15</f>
        <v>2.149511390999999</v>
      </c>
      <c r="K11" s="491">
        <v>12.055757625</v>
      </c>
      <c r="L11" s="424">
        <f t="shared" si="0"/>
        <v>6.978497305348725</v>
      </c>
    </row>
    <row r="12" spans="1:12" ht="31.5">
      <c r="A12" s="135" t="s">
        <v>1175</v>
      </c>
      <c r="B12" s="61" t="s">
        <v>2488</v>
      </c>
      <c r="C12" s="74" t="s">
        <v>117</v>
      </c>
      <c r="D12" s="233" t="s">
        <v>2312</v>
      </c>
      <c r="E12" s="432">
        <f>'Тарифные ставки'!$B$5</f>
        <v>137.4825</v>
      </c>
      <c r="F12" s="543">
        <v>3</v>
      </c>
      <c r="G12" s="543">
        <f t="shared" si="1"/>
        <v>412.4475</v>
      </c>
      <c r="H12" s="543">
        <f>G12*'Тарифные ставки'!$B$13</f>
        <v>1064.11455</v>
      </c>
      <c r="I12" s="543">
        <f>H12*'Тарифные ставки'!B14*'Тарифные ставки'!B15</f>
        <v>1289.7068345999999</v>
      </c>
      <c r="J12" s="543">
        <f>I12-I12/'Тарифные ставки'!$B$15</f>
        <v>214.95113909999986</v>
      </c>
      <c r="K12" s="491">
        <v>1205.5757625</v>
      </c>
      <c r="L12" s="424">
        <f t="shared" si="0"/>
        <v>6.978497305348725</v>
      </c>
    </row>
    <row r="13" spans="1:12" ht="15.75">
      <c r="A13" s="133" t="s">
        <v>118</v>
      </c>
      <c r="B13" s="31" t="s">
        <v>119</v>
      </c>
      <c r="C13" s="72" t="s">
        <v>186</v>
      </c>
      <c r="D13" s="24"/>
      <c r="E13" s="565"/>
      <c r="F13" s="562"/>
      <c r="G13" s="562"/>
      <c r="H13" s="562">
        <f>G13*'Тарифные ставки'!$B$13</f>
        <v>0</v>
      </c>
      <c r="I13" s="562"/>
      <c r="J13" s="562"/>
      <c r="K13" s="450"/>
      <c r="L13" s="450"/>
    </row>
    <row r="14" spans="1:12" ht="15.75">
      <c r="A14" s="134"/>
      <c r="B14" s="41" t="s">
        <v>2489</v>
      </c>
      <c r="C14" s="68"/>
      <c r="D14" s="237" t="s">
        <v>2312</v>
      </c>
      <c r="E14" s="566">
        <f>'Тарифные ставки'!$B$5</f>
        <v>137.4825</v>
      </c>
      <c r="F14" s="563">
        <v>0.1</v>
      </c>
      <c r="G14" s="563">
        <f t="shared" si="1"/>
        <v>13.748249999999999</v>
      </c>
      <c r="H14" s="563">
        <f>G14*'Тарифные ставки'!$B$13</f>
        <v>35.470485</v>
      </c>
      <c r="I14" s="563">
        <f>H14*'Тарифные ставки'!B14*'Тарифные ставки'!B15</f>
        <v>42.990227819999994</v>
      </c>
      <c r="J14" s="563">
        <f>I14-I14/'Тарифные ставки'!$B$15</f>
        <v>7.16503797</v>
      </c>
      <c r="K14" s="457">
        <v>40.18585875</v>
      </c>
      <c r="L14" s="457">
        <f t="shared" si="0"/>
        <v>6.978497305348725</v>
      </c>
    </row>
    <row r="15" spans="1:12" ht="15.75">
      <c r="A15" s="134"/>
      <c r="B15" s="41" t="s">
        <v>2490</v>
      </c>
      <c r="C15" s="68"/>
      <c r="D15" s="237" t="s">
        <v>2312</v>
      </c>
      <c r="E15" s="566">
        <f>'Тарифные ставки'!$B$5</f>
        <v>137.4825</v>
      </c>
      <c r="F15" s="563">
        <v>0.06</v>
      </c>
      <c r="G15" s="563">
        <f t="shared" si="1"/>
        <v>8.248949999999999</v>
      </c>
      <c r="H15" s="563">
        <f>G15*'Тарифные ставки'!$B$13</f>
        <v>21.282290999999997</v>
      </c>
      <c r="I15" s="563">
        <f>H15*'Тарифные ставки'!B14*'Тарифные ставки'!B15</f>
        <v>25.794136691999995</v>
      </c>
      <c r="J15" s="563">
        <f>I15-I15/'Тарифные ставки'!$B$15</f>
        <v>4.299022781999998</v>
      </c>
      <c r="K15" s="457">
        <v>24.11151525</v>
      </c>
      <c r="L15" s="457">
        <f t="shared" si="0"/>
        <v>6.978497305348725</v>
      </c>
    </row>
    <row r="16" spans="1:12" ht="15.75">
      <c r="A16" s="134"/>
      <c r="B16" s="41" t="s">
        <v>2491</v>
      </c>
      <c r="C16" s="68"/>
      <c r="D16" s="237" t="s">
        <v>2312</v>
      </c>
      <c r="E16" s="566">
        <f>'Тарифные ставки'!$B$5</f>
        <v>137.4825</v>
      </c>
      <c r="F16" s="563">
        <v>0.05</v>
      </c>
      <c r="G16" s="563">
        <f t="shared" si="1"/>
        <v>6.874124999999999</v>
      </c>
      <c r="H16" s="563">
        <f>G16*'Тарифные ставки'!$B$13</f>
        <v>17.7352425</v>
      </c>
      <c r="I16" s="563">
        <f>H16*'Тарифные ставки'!B14*'Тарифные ставки'!B15</f>
        <v>21.495113909999997</v>
      </c>
      <c r="J16" s="563">
        <f>I16-I16/'Тарифные ставки'!$B$15</f>
        <v>3.582518985</v>
      </c>
      <c r="K16" s="457">
        <v>20.092929375</v>
      </c>
      <c r="L16" s="457">
        <f t="shared" si="0"/>
        <v>6.978497305348725</v>
      </c>
    </row>
    <row r="17" spans="1:12" ht="15.75">
      <c r="A17" s="135"/>
      <c r="B17" s="42" t="s">
        <v>2492</v>
      </c>
      <c r="C17" s="70"/>
      <c r="D17" s="233" t="s">
        <v>2312</v>
      </c>
      <c r="E17" s="564">
        <f>'Тарифные ставки'!$B$5</f>
        <v>137.4825</v>
      </c>
      <c r="F17" s="561">
        <v>0.03</v>
      </c>
      <c r="G17" s="561">
        <f t="shared" si="1"/>
        <v>4.1244749999999994</v>
      </c>
      <c r="H17" s="561">
        <f>G17*'Тарифные ставки'!$B$13</f>
        <v>10.641145499999999</v>
      </c>
      <c r="I17" s="561">
        <f>H17*'Тарифные ставки'!B14*'Тарифные ставки'!B15</f>
        <v>12.897068345999998</v>
      </c>
      <c r="J17" s="561">
        <f>I17-I17/'Тарифные ставки'!$B$15</f>
        <v>2.149511390999999</v>
      </c>
      <c r="K17" s="490">
        <v>12.055757625</v>
      </c>
      <c r="L17" s="490">
        <f t="shared" si="0"/>
        <v>6.978497305348725</v>
      </c>
    </row>
    <row r="18" spans="1:12" ht="15.75">
      <c r="A18" s="136" t="s">
        <v>1092</v>
      </c>
      <c r="B18" s="61" t="s">
        <v>2364</v>
      </c>
      <c r="C18" s="74" t="s">
        <v>1093</v>
      </c>
      <c r="D18" s="234" t="s">
        <v>2312</v>
      </c>
      <c r="E18" s="432">
        <f>'Тарифные ставки'!$B$5</f>
        <v>137.4825</v>
      </c>
      <c r="F18" s="543">
        <v>0.42</v>
      </c>
      <c r="G18" s="543">
        <f t="shared" si="1"/>
        <v>57.74264999999999</v>
      </c>
      <c r="H18" s="543">
        <f>G18*'Тарифные ставки'!$B$13</f>
        <v>148.976037</v>
      </c>
      <c r="I18" s="543">
        <f>H18*'Тарифные ставки'!B14*'Тарифные ставки'!B15</f>
        <v>180.558956844</v>
      </c>
      <c r="J18" s="543">
        <f>I18-I18/'Тарифные ставки'!$B$15</f>
        <v>30.093159474000004</v>
      </c>
      <c r="K18" s="491">
        <v>168.78060675</v>
      </c>
      <c r="L18" s="491">
        <f t="shared" si="0"/>
        <v>6.978497305348739</v>
      </c>
    </row>
    <row r="19" spans="1:12" ht="15.75">
      <c r="A19" s="136" t="s">
        <v>1094</v>
      </c>
      <c r="B19" s="138" t="s">
        <v>1095</v>
      </c>
      <c r="C19" s="74" t="s">
        <v>1093</v>
      </c>
      <c r="D19" s="234" t="s">
        <v>2312</v>
      </c>
      <c r="E19" s="432">
        <f>'Тарифные ставки'!$B$5</f>
        <v>137.4825</v>
      </c>
      <c r="F19" s="543">
        <v>0.42</v>
      </c>
      <c r="G19" s="543">
        <f t="shared" si="1"/>
        <v>57.74264999999999</v>
      </c>
      <c r="H19" s="543">
        <f>G19*'Тарифные ставки'!$B$13</f>
        <v>148.976037</v>
      </c>
      <c r="I19" s="543">
        <f>H19*'Тарифные ставки'!B14*'Тарифные ставки'!B15</f>
        <v>180.558956844</v>
      </c>
      <c r="J19" s="543">
        <f>I19-I19/'Тарифные ставки'!$B$15</f>
        <v>30.093159474000004</v>
      </c>
      <c r="K19" s="491">
        <v>168.78060675</v>
      </c>
      <c r="L19" s="491">
        <f t="shared" si="0"/>
        <v>6.978497305348739</v>
      </c>
    </row>
    <row r="20" spans="1:12" ht="15.75">
      <c r="A20" s="136" t="s">
        <v>1096</v>
      </c>
      <c r="B20" s="61" t="s">
        <v>443</v>
      </c>
      <c r="C20" s="74" t="s">
        <v>1093</v>
      </c>
      <c r="D20" s="234" t="s">
        <v>2312</v>
      </c>
      <c r="E20" s="432">
        <f>'Тарифные ставки'!$B$5</f>
        <v>137.4825</v>
      </c>
      <c r="F20" s="543">
        <v>0.33</v>
      </c>
      <c r="G20" s="543">
        <f t="shared" si="1"/>
        <v>45.369225</v>
      </c>
      <c r="H20" s="543">
        <f>G20*'Тарифные ставки'!$B$13</f>
        <v>117.0526005</v>
      </c>
      <c r="I20" s="543">
        <f>H20*'Тарифные ставки'!B14*'Тарифные ставки'!B15</f>
        <v>141.867751806</v>
      </c>
      <c r="J20" s="543">
        <f>I20-I20/'Тарифные ставки'!$B$15</f>
        <v>23.64462530099999</v>
      </c>
      <c r="K20" s="491">
        <v>132.613333875</v>
      </c>
      <c r="L20" s="491">
        <f t="shared" si="0"/>
        <v>6.978497305348739</v>
      </c>
    </row>
    <row r="21" spans="1:12" ht="31.5">
      <c r="A21" s="136" t="s">
        <v>1097</v>
      </c>
      <c r="B21" s="61" t="s">
        <v>1098</v>
      </c>
      <c r="C21" s="74" t="s">
        <v>1093</v>
      </c>
      <c r="D21" s="234" t="s">
        <v>2312</v>
      </c>
      <c r="E21" s="432">
        <f>'Тарифные ставки'!$B$5</f>
        <v>137.4825</v>
      </c>
      <c r="F21" s="543">
        <v>3</v>
      </c>
      <c r="G21" s="543">
        <f t="shared" si="1"/>
        <v>412.4475</v>
      </c>
      <c r="H21" s="543">
        <f>G21*'Тарифные ставки'!$B$13</f>
        <v>1064.11455</v>
      </c>
      <c r="I21" s="543">
        <f>H21*'Тарифные ставки'!B14*'Тарифные ставки'!B15</f>
        <v>1289.7068345999999</v>
      </c>
      <c r="J21" s="543">
        <f>I21-I21/'Тарифные ставки'!$B$15</f>
        <v>214.95113909999986</v>
      </c>
      <c r="K21" s="491">
        <v>1205.5757625</v>
      </c>
      <c r="L21" s="491">
        <f t="shared" si="0"/>
        <v>6.978497305348725</v>
      </c>
    </row>
    <row r="22" spans="1:12" ht="15.75">
      <c r="A22" s="136" t="s">
        <v>1099</v>
      </c>
      <c r="B22" s="61" t="s">
        <v>490</v>
      </c>
      <c r="C22" s="74" t="s">
        <v>807</v>
      </c>
      <c r="D22" s="234" t="s">
        <v>1104</v>
      </c>
      <c r="E22" s="432">
        <f>'Тарифные ставки'!$B$6</f>
        <v>148.166</v>
      </c>
      <c r="F22" s="543">
        <v>5</v>
      </c>
      <c r="G22" s="543">
        <f t="shared" si="1"/>
        <v>740.8299999999999</v>
      </c>
      <c r="H22" s="543">
        <f>G22*'Тарифные ставки'!$B$13</f>
        <v>1911.3413999999998</v>
      </c>
      <c r="I22" s="543">
        <f>H22*'Тарифные ставки'!B14*'Тарифные ставки'!B15</f>
        <v>2316.5457767999997</v>
      </c>
      <c r="J22" s="543">
        <f>I22-I22/'Тарифные ставки'!$B$15</f>
        <v>386.09096279999994</v>
      </c>
      <c r="K22" s="491">
        <v>2163.227625</v>
      </c>
      <c r="L22" s="491">
        <f t="shared" si="0"/>
        <v>7.087471980670543</v>
      </c>
    </row>
    <row r="23" spans="1:12" ht="17.25" customHeight="1">
      <c r="A23" s="144"/>
      <c r="B23" s="280" t="s">
        <v>1209</v>
      </c>
      <c r="C23" s="21"/>
      <c r="D23" s="22"/>
      <c r="E23" s="567"/>
      <c r="F23" s="481"/>
      <c r="G23" s="481"/>
      <c r="H23" s="481"/>
      <c r="I23" s="481"/>
      <c r="J23" s="482"/>
      <c r="K23" s="457"/>
      <c r="L23" s="457"/>
    </row>
    <row r="24" spans="1:12" ht="15.75">
      <c r="A24" s="136" t="s">
        <v>491</v>
      </c>
      <c r="B24" s="61" t="s">
        <v>492</v>
      </c>
      <c r="C24" s="74" t="s">
        <v>186</v>
      </c>
      <c r="D24" s="234" t="s">
        <v>2312</v>
      </c>
      <c r="E24" s="568">
        <f>'Тарифные ставки'!$B$5</f>
        <v>137.4825</v>
      </c>
      <c r="F24" s="398">
        <v>0.33</v>
      </c>
      <c r="G24" s="398">
        <f t="shared" si="1"/>
        <v>45.369225</v>
      </c>
      <c r="H24" s="398">
        <f>G24*'Тарифные ставки'!$B$13</f>
        <v>117.0526005</v>
      </c>
      <c r="I24" s="398">
        <f>H24*'Тарифные ставки'!B14*'Тарифные ставки'!B15</f>
        <v>141.867751806</v>
      </c>
      <c r="J24" s="398">
        <f>I24-I24/'Тарифные ставки'!$B$15</f>
        <v>23.64462530099999</v>
      </c>
      <c r="K24" s="491">
        <v>132.613333875</v>
      </c>
      <c r="L24" s="491">
        <f t="shared" si="0"/>
        <v>6.978497305348739</v>
      </c>
    </row>
    <row r="25" spans="1:12" ht="15.75">
      <c r="A25" s="136" t="s">
        <v>493</v>
      </c>
      <c r="B25" s="61" t="s">
        <v>494</v>
      </c>
      <c r="C25" s="74" t="s">
        <v>495</v>
      </c>
      <c r="D25" s="221" t="str">
        <f>D24</f>
        <v>слесарь свдго 4 р</v>
      </c>
      <c r="E25" s="568">
        <f>'Тарифные ставки'!$B$5</f>
        <v>137.4825</v>
      </c>
      <c r="F25" s="398">
        <v>1.5</v>
      </c>
      <c r="G25" s="398">
        <f t="shared" si="1"/>
        <v>206.22375</v>
      </c>
      <c r="H25" s="398">
        <f>G25*'Тарифные ставки'!$B$13</f>
        <v>532.057275</v>
      </c>
      <c r="I25" s="398">
        <f>H25*'Тарифные ставки'!B14*'Тарифные ставки'!B15</f>
        <v>644.8534172999999</v>
      </c>
      <c r="J25" s="398">
        <f>I25-I25/'Тарифные ставки'!$B$15</f>
        <v>107.47556954999993</v>
      </c>
      <c r="K25" s="491">
        <v>602.78788125</v>
      </c>
      <c r="L25" s="491">
        <f t="shared" si="0"/>
        <v>6.978497305348725</v>
      </c>
    </row>
    <row r="26" spans="1:12" ht="15.75">
      <c r="A26" s="136" t="s">
        <v>496</v>
      </c>
      <c r="B26" s="61" t="s">
        <v>497</v>
      </c>
      <c r="C26" s="74" t="s">
        <v>667</v>
      </c>
      <c r="D26" s="221" t="str">
        <f>D25</f>
        <v>слесарь свдго 4 р</v>
      </c>
      <c r="E26" s="568">
        <f>'Тарифные ставки'!$B$5</f>
        <v>137.4825</v>
      </c>
      <c r="F26" s="398">
        <v>0.35</v>
      </c>
      <c r="G26" s="398">
        <f>E26*F26</f>
        <v>48.118874999999996</v>
      </c>
      <c r="H26" s="398">
        <f>G26*'Тарифные ставки'!$B$13</f>
        <v>124.14669749999999</v>
      </c>
      <c r="I26" s="398">
        <f>H26*'Тарифные ставки'!B14*'Тарифные ставки'!B15</f>
        <v>150.46579736999996</v>
      </c>
      <c r="J26" s="398">
        <f>I26-I26/'Тарифные ставки'!$B$15</f>
        <v>25.077632894999994</v>
      </c>
      <c r="K26" s="491">
        <v>140.650505625</v>
      </c>
      <c r="L26" s="491">
        <f t="shared" si="0"/>
        <v>6.978497305348725</v>
      </c>
    </row>
    <row r="27" spans="1:12" ht="15.75">
      <c r="A27" s="136" t="s">
        <v>498</v>
      </c>
      <c r="B27" s="61" t="s">
        <v>499</v>
      </c>
      <c r="C27" s="74" t="s">
        <v>1764</v>
      </c>
      <c r="D27" s="221" t="str">
        <f>D26</f>
        <v>слесарь свдго 4 р</v>
      </c>
      <c r="E27" s="568">
        <f>'Тарифные ставки'!$B$5</f>
        <v>137.4825</v>
      </c>
      <c r="F27" s="398">
        <v>0.03</v>
      </c>
      <c r="G27" s="398">
        <f>E27*F27</f>
        <v>4.1244749999999994</v>
      </c>
      <c r="H27" s="398">
        <f>G27*'Тарифные ставки'!$B$13</f>
        <v>10.641145499999999</v>
      </c>
      <c r="I27" s="398">
        <f>H27*'Тарифные ставки'!B14*'Тарифные ставки'!B15</f>
        <v>12.897068345999998</v>
      </c>
      <c r="J27" s="398">
        <f>I27-I27/'Тарифные ставки'!$B$15</f>
        <v>2.149511390999999</v>
      </c>
      <c r="K27" s="491">
        <v>12.055757625</v>
      </c>
      <c r="L27" s="491">
        <f t="shared" si="0"/>
        <v>6.978497305348725</v>
      </c>
    </row>
    <row r="28" spans="1:12" ht="15.75">
      <c r="A28" s="136" t="s">
        <v>500</v>
      </c>
      <c r="B28" s="61" t="s">
        <v>501</v>
      </c>
      <c r="C28" s="74" t="s">
        <v>1758</v>
      </c>
      <c r="D28" s="221" t="str">
        <f>D27</f>
        <v>слесарь свдго 4 р</v>
      </c>
      <c r="E28" s="568">
        <f>'Тарифные ставки'!$B$5</f>
        <v>137.4825</v>
      </c>
      <c r="F28" s="398">
        <v>0.5</v>
      </c>
      <c r="G28" s="398">
        <f t="shared" si="1"/>
        <v>68.74125</v>
      </c>
      <c r="H28" s="398">
        <f>G28*'Тарифные ставки'!$B$13</f>
        <v>177.35242499999998</v>
      </c>
      <c r="I28" s="398">
        <f>H28*'Тарифные ставки'!B14*'Тарифные ставки'!B15</f>
        <v>214.95113909999998</v>
      </c>
      <c r="J28" s="398">
        <f>I28-I28/'Тарифные ставки'!$B$15</f>
        <v>35.82518984999999</v>
      </c>
      <c r="K28" s="491">
        <v>200.92929375</v>
      </c>
      <c r="L28" s="491">
        <f t="shared" si="0"/>
        <v>6.978497305348725</v>
      </c>
    </row>
    <row r="29" spans="1:12" ht="15.75">
      <c r="A29" s="136" t="s">
        <v>502</v>
      </c>
      <c r="B29" s="61" t="s">
        <v>503</v>
      </c>
      <c r="C29" s="74"/>
      <c r="D29" s="234" t="s">
        <v>1104</v>
      </c>
      <c r="E29" s="432">
        <f>'Тарифные ставки'!$B$6</f>
        <v>148.166</v>
      </c>
      <c r="F29" s="398">
        <v>0.55</v>
      </c>
      <c r="G29" s="398">
        <f t="shared" si="1"/>
        <v>81.49130000000001</v>
      </c>
      <c r="H29" s="398">
        <f>G29*'Тарифные ставки'!$B$13</f>
        <v>210.24755400000004</v>
      </c>
      <c r="I29" s="398">
        <f>H29*'Тарифные ставки'!B14*'Тарифные ставки'!B15</f>
        <v>254.82003544800003</v>
      </c>
      <c r="J29" s="398">
        <f>I29-I29/'Тарифные ставки'!$B$15</f>
        <v>42.47000590799999</v>
      </c>
      <c r="K29" s="491">
        <v>237.95503875000003</v>
      </c>
      <c r="L29" s="491">
        <f t="shared" si="0"/>
        <v>7.087471980670543</v>
      </c>
    </row>
    <row r="30" spans="1:12" ht="15.75">
      <c r="A30" s="136" t="s">
        <v>504</v>
      </c>
      <c r="B30" s="61" t="s">
        <v>505</v>
      </c>
      <c r="C30" s="74" t="s">
        <v>506</v>
      </c>
      <c r="D30" s="221" t="str">
        <f>D29</f>
        <v>слесарь свдго5 р</v>
      </c>
      <c r="E30" s="432">
        <f>'Тарифные ставки'!$B$6</f>
        <v>148.166</v>
      </c>
      <c r="F30" s="398">
        <v>0.1</v>
      </c>
      <c r="G30" s="398">
        <f t="shared" si="1"/>
        <v>14.816600000000001</v>
      </c>
      <c r="H30" s="398">
        <f>G30*'Тарифные ставки'!$B$13</f>
        <v>38.226828000000005</v>
      </c>
      <c r="I30" s="398">
        <f>H30*'Тарифные ставки'!B14*'Тарифные ставки'!B15</f>
        <v>46.330915536</v>
      </c>
      <c r="J30" s="398">
        <f>I30-I30/'Тарифные ставки'!$B$15</f>
        <v>7.721819255999996</v>
      </c>
      <c r="K30" s="491">
        <v>43.26455250000001</v>
      </c>
      <c r="L30" s="491">
        <f t="shared" si="0"/>
        <v>7.087471980670529</v>
      </c>
    </row>
    <row r="31" spans="1:12" ht="15.75">
      <c r="A31" s="133" t="s">
        <v>444</v>
      </c>
      <c r="B31" s="31" t="s">
        <v>507</v>
      </c>
      <c r="C31" s="72" t="s">
        <v>186</v>
      </c>
      <c r="D31" s="560" t="str">
        <f>D30</f>
        <v>слесарь свдго5 р</v>
      </c>
      <c r="E31" s="569">
        <f>'Тарифные ставки'!$B$6</f>
        <v>148.166</v>
      </c>
      <c r="F31" s="400">
        <v>0.1</v>
      </c>
      <c r="G31" s="400">
        <f t="shared" si="1"/>
        <v>14.816600000000001</v>
      </c>
      <c r="H31" s="400">
        <f>G31*'Тарифные ставки'!$B$13</f>
        <v>38.226828000000005</v>
      </c>
      <c r="I31" s="400">
        <f>H31*'Тарифные ставки'!B14*'Тарифные ставки'!B15</f>
        <v>46.330915536</v>
      </c>
      <c r="J31" s="400">
        <f>I31-I31/'Тарифные ставки'!$B$15</f>
        <v>7.721819255999996</v>
      </c>
      <c r="K31" s="450">
        <v>43.26455250000001</v>
      </c>
      <c r="L31" s="450">
        <f t="shared" si="0"/>
        <v>7.087471980670529</v>
      </c>
    </row>
    <row r="32" spans="1:12" ht="15.75">
      <c r="A32" s="135"/>
      <c r="B32" s="42" t="s">
        <v>2493</v>
      </c>
      <c r="C32" s="70"/>
      <c r="D32" s="248" t="str">
        <f>D31</f>
        <v>слесарь свдго5 р</v>
      </c>
      <c r="E32" s="570">
        <f>'Тарифные ставки'!$B$6</f>
        <v>148.166</v>
      </c>
      <c r="F32" s="399">
        <v>0.17</v>
      </c>
      <c r="G32" s="399">
        <f t="shared" si="1"/>
        <v>25.18822</v>
      </c>
      <c r="H32" s="399">
        <f>G32*'Тарифные ставки'!$B$13</f>
        <v>64.98560760000001</v>
      </c>
      <c r="I32" s="399">
        <f>H32*'Тарифные ставки'!B14*'Тарифные ставки'!B15</f>
        <v>78.76255641120001</v>
      </c>
      <c r="J32" s="399">
        <f>I32-I32/'Тарифные ставки'!$B$15</f>
        <v>13.127092735199994</v>
      </c>
      <c r="K32" s="490">
        <v>73.54973925000002</v>
      </c>
      <c r="L32" s="490">
        <f t="shared" si="0"/>
        <v>7.087471980670543</v>
      </c>
    </row>
    <row r="33" spans="1:12" ht="15.75">
      <c r="A33" s="136" t="s">
        <v>508</v>
      </c>
      <c r="B33" s="61" t="s">
        <v>509</v>
      </c>
      <c r="C33" s="74" t="s">
        <v>186</v>
      </c>
      <c r="D33" s="221" t="str">
        <f>D32</f>
        <v>слесарь свдго5 р</v>
      </c>
      <c r="E33" s="568">
        <f>'Тарифные ставки'!$B$6</f>
        <v>148.166</v>
      </c>
      <c r="F33" s="398">
        <v>0.35</v>
      </c>
      <c r="G33" s="398">
        <f t="shared" si="1"/>
        <v>51.85809999999999</v>
      </c>
      <c r="H33" s="398">
        <f>G33*'Тарифные ставки'!$B$13</f>
        <v>133.79389799999998</v>
      </c>
      <c r="I33" s="398">
        <f>H33*'Тарифные ставки'!B14*'Тарифные ставки'!B15</f>
        <v>162.15820437599996</v>
      </c>
      <c r="J33" s="398">
        <f>I33-I33/'Тарифные ставки'!$B$15</f>
        <v>27.026367395999984</v>
      </c>
      <c r="K33" s="491">
        <v>151.42593374999998</v>
      </c>
      <c r="L33" s="491">
        <f t="shared" si="0"/>
        <v>7.087471980670529</v>
      </c>
    </row>
    <row r="34" spans="1:12" ht="15.75">
      <c r="A34" s="136" t="s">
        <v>510</v>
      </c>
      <c r="B34" s="61" t="s">
        <v>511</v>
      </c>
      <c r="C34" s="74" t="s">
        <v>1093</v>
      </c>
      <c r="D34" s="234" t="s">
        <v>846</v>
      </c>
      <c r="E34" s="568">
        <f>'Тарифные ставки'!$B$6</f>
        <v>148.166</v>
      </c>
      <c r="F34" s="398">
        <v>1</v>
      </c>
      <c r="G34" s="398">
        <f t="shared" si="1"/>
        <v>148.166</v>
      </c>
      <c r="H34" s="398">
        <f>G34*'Тарифные ставки'!$B$13</f>
        <v>382.26828</v>
      </c>
      <c r="I34" s="398">
        <f>H34*'Тарифные ставки'!B14*'Тарифные ставки'!B15</f>
        <v>463.30915536</v>
      </c>
      <c r="J34" s="398">
        <f>I34-I34/'Тарифные ставки'!$B$15</f>
        <v>77.21819255999998</v>
      </c>
      <c r="K34" s="491">
        <v>432.64552499999996</v>
      </c>
      <c r="L34" s="491">
        <f t="shared" si="0"/>
        <v>7.087471980670543</v>
      </c>
    </row>
    <row r="35" spans="1:12" ht="15.75">
      <c r="A35" s="136" t="s">
        <v>1953</v>
      </c>
      <c r="B35" s="61" t="s">
        <v>512</v>
      </c>
      <c r="C35" s="74" t="s">
        <v>1093</v>
      </c>
      <c r="D35" s="234" t="s">
        <v>846</v>
      </c>
      <c r="E35" s="568">
        <f>'Тарифные ставки'!$B$6</f>
        <v>148.166</v>
      </c>
      <c r="F35" s="398">
        <v>0.5</v>
      </c>
      <c r="G35" s="398">
        <f t="shared" si="1"/>
        <v>74.083</v>
      </c>
      <c r="H35" s="398">
        <f>G35*'Тарифные ставки'!$B$13</f>
        <v>191.13414</v>
      </c>
      <c r="I35" s="398">
        <f>H35*'Тарифные ставки'!B14*'Тарифные ставки'!B15</f>
        <v>231.65457768</v>
      </c>
      <c r="J35" s="398">
        <f>I35-I35/'Тарифные ставки'!$B$15</f>
        <v>38.60909627999999</v>
      </c>
      <c r="K35" s="491">
        <v>216.32276249999998</v>
      </c>
      <c r="L35" s="491">
        <f t="shared" si="0"/>
        <v>7.087471980670543</v>
      </c>
    </row>
    <row r="36" spans="1:12" ht="15.75">
      <c r="A36" s="133" t="s">
        <v>1954</v>
      </c>
      <c r="B36" s="31" t="s">
        <v>513</v>
      </c>
      <c r="C36" s="72" t="s">
        <v>1093</v>
      </c>
      <c r="D36" s="228" t="s">
        <v>2312</v>
      </c>
      <c r="E36" s="569">
        <f>'Тарифные ставки'!$B$5</f>
        <v>137.4825</v>
      </c>
      <c r="F36" s="400">
        <v>0.3</v>
      </c>
      <c r="G36" s="400">
        <f t="shared" si="1"/>
        <v>41.244749999999996</v>
      </c>
      <c r="H36" s="400">
        <f>(G36+G37)*'Тарифные ставки'!$B$13</f>
        <v>221.091939</v>
      </c>
      <c r="I36" s="400">
        <f>H36*'Тарифные ставки'!B14*'Тарифные ставки'!B15</f>
        <v>267.963430068</v>
      </c>
      <c r="J36" s="400">
        <f>I36-I36/'Тарифные ставки'!$B$15</f>
        <v>44.660571678</v>
      </c>
      <c r="K36" s="450">
        <v>250.35123374999998</v>
      </c>
      <c r="L36" s="450">
        <f t="shared" si="0"/>
        <v>7.034994816757106</v>
      </c>
    </row>
    <row r="37" spans="1:12" ht="15.75" hidden="1">
      <c r="A37" s="135"/>
      <c r="B37" s="52"/>
      <c r="C37" s="70"/>
      <c r="D37" s="233" t="s">
        <v>846</v>
      </c>
      <c r="E37" s="570">
        <f>'Тарифные ставки'!$B$6</f>
        <v>148.166</v>
      </c>
      <c r="F37" s="399">
        <v>0.3</v>
      </c>
      <c r="G37" s="399">
        <f t="shared" si="1"/>
        <v>44.449799999999996</v>
      </c>
      <c r="H37" s="399"/>
      <c r="I37" s="399"/>
      <c r="J37" s="399"/>
      <c r="K37" s="490"/>
      <c r="L37" s="490"/>
    </row>
    <row r="38" spans="1:12" ht="15.75">
      <c r="A38" s="136" t="s">
        <v>1955</v>
      </c>
      <c r="B38" s="61" t="s">
        <v>514</v>
      </c>
      <c r="C38" s="74" t="s">
        <v>1093</v>
      </c>
      <c r="D38" s="234" t="s">
        <v>2312</v>
      </c>
      <c r="E38" s="568">
        <f>'Тарифные ставки'!$B$5</f>
        <v>137.4825</v>
      </c>
      <c r="F38" s="398">
        <v>0.25</v>
      </c>
      <c r="G38" s="398">
        <f t="shared" si="1"/>
        <v>34.370625</v>
      </c>
      <c r="H38" s="398">
        <f>G38*'Тарифные ставки'!$B$13</f>
        <v>88.67621249999999</v>
      </c>
      <c r="I38" s="398">
        <f>H38*'Тарифные ставки'!B14*'Тарифные ставки'!B15</f>
        <v>107.47556954999999</v>
      </c>
      <c r="J38" s="398">
        <f>I38-I38/'Тарифные ставки'!$B$15</f>
        <v>17.912594924999993</v>
      </c>
      <c r="K38" s="491">
        <v>100.464646875</v>
      </c>
      <c r="L38" s="491">
        <f t="shared" si="0"/>
        <v>6.978497305348725</v>
      </c>
    </row>
    <row r="39" spans="1:12" ht="47.25">
      <c r="A39" s="136" t="s">
        <v>1956</v>
      </c>
      <c r="B39" s="61" t="s">
        <v>515</v>
      </c>
      <c r="C39" s="74" t="s">
        <v>516</v>
      </c>
      <c r="D39" s="234" t="s">
        <v>2312</v>
      </c>
      <c r="E39" s="568">
        <f>'Тарифные ставки'!$B$5</f>
        <v>137.4825</v>
      </c>
      <c r="F39" s="398">
        <v>0.5</v>
      </c>
      <c r="G39" s="398">
        <f t="shared" si="1"/>
        <v>68.74125</v>
      </c>
      <c r="H39" s="398">
        <f>G39*'Тарифные ставки'!$B$13</f>
        <v>177.35242499999998</v>
      </c>
      <c r="I39" s="398">
        <f>H39*'Тарифные ставки'!B14*'Тарифные ставки'!B15</f>
        <v>214.95113909999998</v>
      </c>
      <c r="J39" s="398">
        <f>I39-I39/'Тарифные ставки'!$B$15</f>
        <v>35.82518984999999</v>
      </c>
      <c r="K39" s="491">
        <v>200.92929375</v>
      </c>
      <c r="L39" s="491">
        <f t="shared" si="0"/>
        <v>6.978497305348725</v>
      </c>
    </row>
    <row r="40" spans="1:12" ht="15.75">
      <c r="A40" s="133" t="s">
        <v>14</v>
      </c>
      <c r="B40" s="631" t="s">
        <v>2494</v>
      </c>
      <c r="C40" s="72" t="s">
        <v>1093</v>
      </c>
      <c r="D40" s="228" t="s">
        <v>2312</v>
      </c>
      <c r="E40" s="569">
        <f>'Тарифные ставки'!$B$5</f>
        <v>137.4825</v>
      </c>
      <c r="F40" s="400">
        <v>0.6</v>
      </c>
      <c r="G40" s="400">
        <f>E40*F40</f>
        <v>82.48949999999999</v>
      </c>
      <c r="H40" s="400">
        <f>(G40+G41)*'Тарифные ставки'!$B$13</f>
        <v>442.183878</v>
      </c>
      <c r="I40" s="400">
        <f>H40*'Тарифные ставки'!B14*'Тарифные ставки'!B15</f>
        <v>535.926860136</v>
      </c>
      <c r="J40" s="400">
        <f>I40-I40/'Тарифные ставки'!$B$15</f>
        <v>89.321143356</v>
      </c>
      <c r="K40" s="450">
        <v>500.70246749999995</v>
      </c>
      <c r="L40" s="450">
        <f t="shared" si="0"/>
        <v>7.034994816757106</v>
      </c>
    </row>
    <row r="41" spans="1:12" ht="15.75">
      <c r="A41" s="135"/>
      <c r="B41" s="632"/>
      <c r="C41" s="70"/>
      <c r="D41" s="233" t="s">
        <v>846</v>
      </c>
      <c r="E41" s="570">
        <f>'Тарифные ставки'!$B$6</f>
        <v>148.166</v>
      </c>
      <c r="F41" s="399">
        <v>0.6</v>
      </c>
      <c r="G41" s="399">
        <f>E41*F41</f>
        <v>88.89959999999999</v>
      </c>
      <c r="H41" s="399"/>
      <c r="I41" s="399"/>
      <c r="J41" s="399"/>
      <c r="K41" s="490"/>
      <c r="L41" s="490"/>
    </row>
    <row r="42" spans="1:12" ht="31.5">
      <c r="A42" s="136" t="s">
        <v>1957</v>
      </c>
      <c r="B42" s="61" t="s">
        <v>2424</v>
      </c>
      <c r="C42" s="74" t="s">
        <v>1093</v>
      </c>
      <c r="D42" s="234" t="s">
        <v>2312</v>
      </c>
      <c r="E42" s="568">
        <f>'Тарифные ставки'!$B$5</f>
        <v>137.4825</v>
      </c>
      <c r="F42" s="398">
        <v>1</v>
      </c>
      <c r="G42" s="398">
        <f aca="true" t="shared" si="2" ref="G42:G84">E42*F42</f>
        <v>137.4825</v>
      </c>
      <c r="H42" s="398">
        <f>G42*'Тарифные ставки'!$B$13</f>
        <v>354.70484999999996</v>
      </c>
      <c r="I42" s="398">
        <f>H42*'Тарифные ставки'!B14*'Тарифные ставки'!B15</f>
        <v>429.90227819999996</v>
      </c>
      <c r="J42" s="398">
        <f>I42-I42/'Тарифные ставки'!$B$15</f>
        <v>71.65037969999997</v>
      </c>
      <c r="K42" s="491">
        <v>401.8585875</v>
      </c>
      <c r="L42" s="491">
        <f t="shared" si="0"/>
        <v>6.978497305348725</v>
      </c>
    </row>
    <row r="43" spans="1:12" ht="15.75">
      <c r="A43" s="136" t="s">
        <v>1958</v>
      </c>
      <c r="B43" s="61" t="s">
        <v>517</v>
      </c>
      <c r="C43" s="74" t="s">
        <v>1093</v>
      </c>
      <c r="D43" s="234" t="s">
        <v>846</v>
      </c>
      <c r="E43" s="568">
        <f>'Тарифные ставки'!$B$6</f>
        <v>148.166</v>
      </c>
      <c r="F43" s="398">
        <v>0.83</v>
      </c>
      <c r="G43" s="398">
        <f t="shared" si="2"/>
        <v>122.97778</v>
      </c>
      <c r="H43" s="398">
        <f>G43*'Тарифные ставки'!$B$13</f>
        <v>317.2826724</v>
      </c>
      <c r="I43" s="398">
        <f>H43*'Тарифные ставки'!B14*'Тарифные ставки'!B15</f>
        <v>384.5465989488</v>
      </c>
      <c r="J43" s="398">
        <f>I43-I43/'Тарифные ставки'!$B$15</f>
        <v>64.09109982479998</v>
      </c>
      <c r="K43" s="491">
        <v>359.09578575</v>
      </c>
      <c r="L43" s="491">
        <f t="shared" si="0"/>
        <v>7.087471980670543</v>
      </c>
    </row>
    <row r="44" spans="1:12" ht="15.75">
      <c r="A44" s="136" t="s">
        <v>1959</v>
      </c>
      <c r="B44" s="61" t="s">
        <v>518</v>
      </c>
      <c r="C44" s="74" t="s">
        <v>1093</v>
      </c>
      <c r="D44" s="234" t="s">
        <v>846</v>
      </c>
      <c r="E44" s="568">
        <f>'Тарифные ставки'!$B$6</f>
        <v>148.166</v>
      </c>
      <c r="F44" s="398">
        <v>1</v>
      </c>
      <c r="G44" s="398">
        <f t="shared" si="2"/>
        <v>148.166</v>
      </c>
      <c r="H44" s="398">
        <f>G44*'Тарифные ставки'!$B$13</f>
        <v>382.26828</v>
      </c>
      <c r="I44" s="398">
        <f>H44*'Тарифные ставки'!B14*'Тарифные ставки'!B15</f>
        <v>463.30915536</v>
      </c>
      <c r="J44" s="398">
        <f>I44-I44/'Тарифные ставки'!$B$15</f>
        <v>77.21819255999998</v>
      </c>
      <c r="K44" s="491">
        <v>432.64552499999996</v>
      </c>
      <c r="L44" s="491">
        <f t="shared" si="0"/>
        <v>7.087471980670543</v>
      </c>
    </row>
    <row r="45" spans="1:12" ht="15.75">
      <c r="A45" s="136" t="s">
        <v>1960</v>
      </c>
      <c r="B45" s="61" t="s">
        <v>519</v>
      </c>
      <c r="C45" s="74" t="s">
        <v>1093</v>
      </c>
      <c r="D45" s="234" t="s">
        <v>2312</v>
      </c>
      <c r="E45" s="568">
        <f>'Тарифные ставки'!$B$5</f>
        <v>137.4825</v>
      </c>
      <c r="F45" s="398">
        <v>0.2</v>
      </c>
      <c r="G45" s="398">
        <f t="shared" si="2"/>
        <v>27.496499999999997</v>
      </c>
      <c r="H45" s="398">
        <f>G45*'Тарифные ставки'!$B$13</f>
        <v>70.94097</v>
      </c>
      <c r="I45" s="398">
        <f>H45*'Тарифные ставки'!B14*'Тарифные ставки'!B15</f>
        <v>85.98045563999999</v>
      </c>
      <c r="J45" s="398">
        <f>I45-I45/'Тарифные ставки'!$B$15</f>
        <v>14.33007594</v>
      </c>
      <c r="K45" s="491">
        <v>80.3717175</v>
      </c>
      <c r="L45" s="491">
        <f t="shared" si="0"/>
        <v>6.978497305348725</v>
      </c>
    </row>
    <row r="46" spans="1:12" ht="15.75">
      <c r="A46" s="136" t="s">
        <v>1961</v>
      </c>
      <c r="B46" s="61" t="s">
        <v>2495</v>
      </c>
      <c r="C46" s="74" t="s">
        <v>1093</v>
      </c>
      <c r="D46" s="234" t="s">
        <v>2312</v>
      </c>
      <c r="E46" s="568">
        <f>'Тарифные ставки'!$B$5</f>
        <v>137.4825</v>
      </c>
      <c r="F46" s="398">
        <v>1.8</v>
      </c>
      <c r="G46" s="398">
        <f t="shared" si="2"/>
        <v>247.46849999999998</v>
      </c>
      <c r="H46" s="398">
        <f>G46*'Тарифные ставки'!$B$13</f>
        <v>638.4687299999999</v>
      </c>
      <c r="I46" s="398">
        <f>H46*'Тарифные ставки'!B14*'Тарифные ставки'!B15</f>
        <v>773.8241007599999</v>
      </c>
      <c r="J46" s="398">
        <f>I46-I46/'Тарифные ставки'!$B$15</f>
        <v>128.97068345999992</v>
      </c>
      <c r="K46" s="491">
        <v>723.3454575</v>
      </c>
      <c r="L46" s="491">
        <f t="shared" si="0"/>
        <v>6.978497305348725</v>
      </c>
    </row>
    <row r="47" spans="1:12" ht="15.75">
      <c r="A47" s="136" t="s">
        <v>1962</v>
      </c>
      <c r="B47" s="61" t="s">
        <v>520</v>
      </c>
      <c r="C47" s="74" t="s">
        <v>1093</v>
      </c>
      <c r="D47" s="221" t="str">
        <f>D46</f>
        <v>слесарь свдго 4 р</v>
      </c>
      <c r="E47" s="568">
        <f>'Тарифные ставки'!$B$5</f>
        <v>137.4825</v>
      </c>
      <c r="F47" s="398">
        <v>0.83</v>
      </c>
      <c r="G47" s="398">
        <f t="shared" si="2"/>
        <v>114.11047499999998</v>
      </c>
      <c r="H47" s="398">
        <f>G47*'Тарифные ставки'!$B$13</f>
        <v>294.40502549999997</v>
      </c>
      <c r="I47" s="398">
        <f>H47*'Тарифные ставки'!B14*'Тарифные ставки'!B15</f>
        <v>356.8188909059999</v>
      </c>
      <c r="J47" s="398">
        <f>I47-I47/'Тарифные ставки'!$B$15</f>
        <v>59.46981515099998</v>
      </c>
      <c r="K47" s="491">
        <v>333.54262762499997</v>
      </c>
      <c r="L47" s="491">
        <f t="shared" si="0"/>
        <v>6.978497305348725</v>
      </c>
    </row>
    <row r="48" spans="1:12" ht="15.75">
      <c r="A48" s="133" t="s">
        <v>1963</v>
      </c>
      <c r="B48" s="31" t="s">
        <v>521</v>
      </c>
      <c r="C48" s="72" t="s">
        <v>1093</v>
      </c>
      <c r="D48" s="228" t="s">
        <v>2312</v>
      </c>
      <c r="E48" s="569">
        <f>'Тарифные ставки'!$B$5</f>
        <v>137.4825</v>
      </c>
      <c r="F48" s="400">
        <v>0.04</v>
      </c>
      <c r="G48" s="400">
        <f t="shared" si="2"/>
        <v>5.4993</v>
      </c>
      <c r="H48" s="400">
        <f>(G48+G49)*'Тарифные ставки'!$B$13</f>
        <v>37.124290800000004</v>
      </c>
      <c r="I48" s="400">
        <f>H48*'Тарифные ставки'!B14*'Тарифные ставки'!B15</f>
        <v>44.994640449600006</v>
      </c>
      <c r="J48" s="400">
        <f>I48-I48/'Тарифные ставки'!$B$15</f>
        <v>7.499106741600002</v>
      </c>
      <c r="K48" s="450">
        <v>42.033075000000004</v>
      </c>
      <c r="L48" s="450">
        <f t="shared" si="0"/>
        <v>7.045797742848947</v>
      </c>
    </row>
    <row r="49" spans="1:12" ht="15.75" hidden="1">
      <c r="A49" s="135"/>
      <c r="B49" s="52"/>
      <c r="C49" s="70"/>
      <c r="D49" s="233" t="s">
        <v>846</v>
      </c>
      <c r="E49" s="570">
        <f>'Тарифные ставки'!$B$6</f>
        <v>148.166</v>
      </c>
      <c r="F49" s="399">
        <v>0.06</v>
      </c>
      <c r="G49" s="399">
        <f t="shared" si="2"/>
        <v>8.88996</v>
      </c>
      <c r="H49" s="399"/>
      <c r="I49" s="399"/>
      <c r="J49" s="399"/>
      <c r="K49" s="490"/>
      <c r="L49" s="490"/>
    </row>
    <row r="50" spans="1:12" ht="15.75">
      <c r="A50" s="133" t="s">
        <v>1964</v>
      </c>
      <c r="B50" s="31" t="s">
        <v>522</v>
      </c>
      <c r="C50" s="72" t="s">
        <v>1093</v>
      </c>
      <c r="D50" s="228" t="s">
        <v>2312</v>
      </c>
      <c r="E50" s="569">
        <f>'Тарифные ставки'!$B$5</f>
        <v>137.4825</v>
      </c>
      <c r="F50" s="400">
        <v>0.1</v>
      </c>
      <c r="G50" s="400">
        <f t="shared" si="2"/>
        <v>13.748249999999999</v>
      </c>
      <c r="H50" s="400">
        <f>(G50+G51)*'Тарифные ставки'!$B$13</f>
        <v>73.69731300000001</v>
      </c>
      <c r="I50" s="400">
        <f>H50*'Тарифные ставки'!B14*'Тарифные ставки'!B15</f>
        <v>89.32114335600001</v>
      </c>
      <c r="J50" s="400">
        <f>I50-I50/'Тарифные ставки'!$B$15</f>
        <v>14.886857226000004</v>
      </c>
      <c r="K50" s="450">
        <v>83.45041125</v>
      </c>
      <c r="L50" s="450">
        <f t="shared" si="0"/>
        <v>7.034994816757134</v>
      </c>
    </row>
    <row r="51" spans="1:12" ht="15.75" hidden="1">
      <c r="A51" s="135"/>
      <c r="B51" s="52"/>
      <c r="C51" s="70"/>
      <c r="D51" s="233" t="s">
        <v>846</v>
      </c>
      <c r="E51" s="570">
        <f>'Тарифные ставки'!$B$6</f>
        <v>148.166</v>
      </c>
      <c r="F51" s="399">
        <v>0.1</v>
      </c>
      <c r="G51" s="399">
        <f t="shared" si="2"/>
        <v>14.816600000000001</v>
      </c>
      <c r="H51" s="399"/>
      <c r="I51" s="399"/>
      <c r="J51" s="399"/>
      <c r="K51" s="490"/>
      <c r="L51" s="490"/>
    </row>
    <row r="52" spans="1:12" ht="63" hidden="1">
      <c r="A52" s="328" t="s">
        <v>83</v>
      </c>
      <c r="B52" s="313" t="s">
        <v>82</v>
      </c>
      <c r="C52" s="313" t="s">
        <v>77</v>
      </c>
      <c r="D52" s="313" t="s">
        <v>81</v>
      </c>
      <c r="E52" s="571" t="s">
        <v>85</v>
      </c>
      <c r="F52" s="571" t="s">
        <v>78</v>
      </c>
      <c r="G52" s="571" t="s">
        <v>79</v>
      </c>
      <c r="H52" s="571" t="s">
        <v>80</v>
      </c>
      <c r="I52" s="572" t="s">
        <v>843</v>
      </c>
      <c r="J52" s="572" t="s">
        <v>2349</v>
      </c>
      <c r="K52" s="465"/>
      <c r="L52" s="465"/>
    </row>
    <row r="53" spans="1:12" ht="19.5" customHeight="1">
      <c r="A53" s="133" t="s">
        <v>1965</v>
      </c>
      <c r="B53" s="31" t="s">
        <v>834</v>
      </c>
      <c r="C53" s="72" t="s">
        <v>1093</v>
      </c>
      <c r="D53" s="228" t="s">
        <v>2312</v>
      </c>
      <c r="E53" s="569">
        <f>'Тарифные ставки'!$B$5</f>
        <v>137.4825</v>
      </c>
      <c r="F53" s="400">
        <v>0.5</v>
      </c>
      <c r="G53" s="400">
        <f t="shared" si="2"/>
        <v>68.74125</v>
      </c>
      <c r="H53" s="400">
        <f>(G53+G54)*'Тарифные ставки'!$B$13</f>
        <v>215.57925300000002</v>
      </c>
      <c r="I53" s="400">
        <f>H53*'Тарифные ставки'!B14*'Тарифные ставки'!B15</f>
        <v>261.28205463600005</v>
      </c>
      <c r="J53" s="573">
        <f>I53-I53/'Тарифные ставки'!$B$15</f>
        <v>43.54700910599999</v>
      </c>
      <c r="K53" s="450">
        <v>244.19384625000004</v>
      </c>
      <c r="L53" s="450">
        <f>I53/K53*100-100</f>
        <v>6.997804673794079</v>
      </c>
    </row>
    <row r="54" spans="1:12" ht="15.75" hidden="1">
      <c r="A54" s="135"/>
      <c r="B54" s="52"/>
      <c r="C54" s="70"/>
      <c r="D54" s="233" t="s">
        <v>846</v>
      </c>
      <c r="E54" s="570">
        <f>'Тарифные ставки'!$B$6</f>
        <v>148.166</v>
      </c>
      <c r="F54" s="399">
        <v>0.1</v>
      </c>
      <c r="G54" s="399">
        <f t="shared" si="2"/>
        <v>14.816600000000001</v>
      </c>
      <c r="H54" s="399"/>
      <c r="I54" s="399"/>
      <c r="J54" s="574"/>
      <c r="K54" s="490"/>
      <c r="L54" s="490"/>
    </row>
    <row r="55" spans="1:12" ht="15.75">
      <c r="A55" s="133" t="s">
        <v>1966</v>
      </c>
      <c r="B55" s="31" t="s">
        <v>835</v>
      </c>
      <c r="C55" s="72" t="s">
        <v>1093</v>
      </c>
      <c r="D55" s="228" t="s">
        <v>2312</v>
      </c>
      <c r="E55" s="569">
        <f>'Тарифные ставки'!$B$5</f>
        <v>137.4825</v>
      </c>
      <c r="F55" s="400">
        <v>1.2</v>
      </c>
      <c r="G55" s="400">
        <f t="shared" si="2"/>
        <v>164.97899999999998</v>
      </c>
      <c r="H55" s="400">
        <f>(G55+G56)*'Тарифные ставки'!$B$13</f>
        <v>540.3263039999999</v>
      </c>
      <c r="I55" s="400">
        <f>H55*'Тарифные ставки'!B14*'Тарифные ставки'!B15</f>
        <v>654.8754804479998</v>
      </c>
      <c r="J55" s="573">
        <f>I55-I55/'Тарифные ставки'!$B$15</f>
        <v>109.14591340799996</v>
      </c>
      <c r="K55" s="450">
        <v>612.0239625</v>
      </c>
      <c r="L55" s="450">
        <f>I55/K55*100-100</f>
        <v>7.00160787380932</v>
      </c>
    </row>
    <row r="56" spans="1:12" ht="15.75" hidden="1">
      <c r="A56" s="135"/>
      <c r="B56" s="52"/>
      <c r="C56" s="70"/>
      <c r="D56" s="233" t="s">
        <v>846</v>
      </c>
      <c r="E56" s="570">
        <f>'Тарифные ставки'!$B$6</f>
        <v>148.166</v>
      </c>
      <c r="F56" s="399">
        <v>0.3</v>
      </c>
      <c r="G56" s="399">
        <f t="shared" si="2"/>
        <v>44.449799999999996</v>
      </c>
      <c r="H56" s="399"/>
      <c r="I56" s="399"/>
      <c r="J56" s="574"/>
      <c r="K56" s="490"/>
      <c r="L56" s="490"/>
    </row>
    <row r="57" spans="1:12" ht="15.75">
      <c r="A57" s="136" t="s">
        <v>1967</v>
      </c>
      <c r="B57" s="61" t="s">
        <v>836</v>
      </c>
      <c r="C57" s="74" t="s">
        <v>1093</v>
      </c>
      <c r="D57" s="234" t="s">
        <v>2312</v>
      </c>
      <c r="E57" s="568">
        <f>'Тарифные ставки'!$B$5</f>
        <v>137.4825</v>
      </c>
      <c r="F57" s="398">
        <v>0.1</v>
      </c>
      <c r="G57" s="398">
        <f t="shared" si="2"/>
        <v>13.748249999999999</v>
      </c>
      <c r="H57" s="398">
        <f>G57*'Тарифные ставки'!$B$13</f>
        <v>35.470485</v>
      </c>
      <c r="I57" s="398">
        <f>H57*'Тарифные ставки'!B14*'Тарифные ставки'!B15</f>
        <v>42.990227819999994</v>
      </c>
      <c r="J57" s="575">
        <f>I57-I57/'Тарифные ставки'!$B$15</f>
        <v>7.16503797</v>
      </c>
      <c r="K57" s="491">
        <v>40.18585875</v>
      </c>
      <c r="L57" s="491">
        <f>I57/K57*100-100</f>
        <v>6.978497305348725</v>
      </c>
    </row>
    <row r="58" spans="1:12" ht="15.75">
      <c r="A58" s="136" t="s">
        <v>1968</v>
      </c>
      <c r="B58" s="61" t="s">
        <v>837</v>
      </c>
      <c r="C58" s="74" t="s">
        <v>1093</v>
      </c>
      <c r="D58" s="234" t="s">
        <v>2312</v>
      </c>
      <c r="E58" s="568">
        <f>'Тарифные ставки'!$B$5</f>
        <v>137.4825</v>
      </c>
      <c r="F58" s="398">
        <v>0.3</v>
      </c>
      <c r="G58" s="398">
        <f t="shared" si="2"/>
        <v>41.244749999999996</v>
      </c>
      <c r="H58" s="398">
        <f>G58*'Тарифные ставки'!$B$13</f>
        <v>106.41145499999999</v>
      </c>
      <c r="I58" s="398">
        <f>H58*'Тарифные ставки'!B14*'Тарифные ставки'!B15</f>
        <v>128.97068345999998</v>
      </c>
      <c r="J58" s="575">
        <f>I58-I58/'Тарифные ставки'!$B$15</f>
        <v>21.495113909999986</v>
      </c>
      <c r="K58" s="491">
        <v>120.55757625</v>
      </c>
      <c r="L58" s="491">
        <f>I58/K58*100-100</f>
        <v>6.978497305348725</v>
      </c>
    </row>
    <row r="59" spans="1:12" ht="25.5" customHeight="1">
      <c r="A59" s="166"/>
      <c r="B59" s="280" t="s">
        <v>2039</v>
      </c>
      <c r="C59" s="354"/>
      <c r="D59" s="190"/>
      <c r="E59" s="576"/>
      <c r="F59" s="577"/>
      <c r="G59" s="577"/>
      <c r="H59" s="577"/>
      <c r="I59" s="577"/>
      <c r="J59" s="577"/>
      <c r="K59" s="457"/>
      <c r="L59" s="457"/>
    </row>
    <row r="60" spans="1:12" ht="15.75">
      <c r="A60" s="136" t="s">
        <v>1969</v>
      </c>
      <c r="B60" s="61" t="s">
        <v>1970</v>
      </c>
      <c r="C60" s="74" t="s">
        <v>1722</v>
      </c>
      <c r="D60" s="234" t="s">
        <v>1104</v>
      </c>
      <c r="E60" s="432">
        <f>'Тарифные ставки'!$B$6</f>
        <v>148.166</v>
      </c>
      <c r="F60" s="398">
        <v>5</v>
      </c>
      <c r="G60" s="398">
        <f aca="true" t="shared" si="3" ref="G60:G65">E60*F60</f>
        <v>740.8299999999999</v>
      </c>
      <c r="H60" s="398">
        <f>G60*'Тарифные ставки'!$B$13</f>
        <v>1911.3413999999998</v>
      </c>
      <c r="I60" s="398">
        <f>H60*'Тарифные ставки'!B14*'Тарифные ставки'!B15</f>
        <v>2316.5457767999997</v>
      </c>
      <c r="J60" s="575">
        <f>I60-I60/'Тарифные ставки'!$B$15</f>
        <v>386.09096279999994</v>
      </c>
      <c r="K60" s="491">
        <v>2163.227625</v>
      </c>
      <c r="L60" s="491">
        <f aca="true" t="shared" si="4" ref="L60:L65">I60/K60*100-100</f>
        <v>7.087471980670543</v>
      </c>
    </row>
    <row r="61" spans="1:12" ht="31.5">
      <c r="A61" s="136" t="s">
        <v>1971</v>
      </c>
      <c r="B61" s="61" t="s">
        <v>1972</v>
      </c>
      <c r="C61" s="74" t="s">
        <v>1973</v>
      </c>
      <c r="D61" s="234" t="s">
        <v>2312</v>
      </c>
      <c r="E61" s="568">
        <f>'Тарифные ставки'!$B$5</f>
        <v>137.4825</v>
      </c>
      <c r="F61" s="398">
        <v>0.5</v>
      </c>
      <c r="G61" s="398">
        <f t="shared" si="3"/>
        <v>68.74125</v>
      </c>
      <c r="H61" s="398">
        <f>G61*'Тарифные ставки'!$B$13</f>
        <v>177.35242499999998</v>
      </c>
      <c r="I61" s="398">
        <f>H61*'Тарифные ставки'!B14*'Тарифные ставки'!B15</f>
        <v>214.95113909999998</v>
      </c>
      <c r="J61" s="575">
        <f>I61-I61/'Тарифные ставки'!$B$15</f>
        <v>35.82518984999999</v>
      </c>
      <c r="K61" s="491">
        <v>200.92929375</v>
      </c>
      <c r="L61" s="491">
        <f t="shared" si="4"/>
        <v>6.978497305348725</v>
      </c>
    </row>
    <row r="62" spans="1:12" ht="15.75">
      <c r="A62" s="133" t="s">
        <v>1974</v>
      </c>
      <c r="B62" s="31" t="s">
        <v>1975</v>
      </c>
      <c r="C62" s="72" t="s">
        <v>1976</v>
      </c>
      <c r="D62" s="228" t="s">
        <v>1105</v>
      </c>
      <c r="E62" s="569">
        <f>'Тарифные ставки'!$B$6</f>
        <v>148.166</v>
      </c>
      <c r="F62" s="400">
        <v>0.1</v>
      </c>
      <c r="G62" s="400">
        <f t="shared" si="3"/>
        <v>14.816600000000001</v>
      </c>
      <c r="H62" s="400">
        <f>(G62+G63)*'Тарифные ставки'!$B$13</f>
        <v>73.69731300000001</v>
      </c>
      <c r="I62" s="400">
        <f>H62*'Тарифные ставки'!B14*'Тарифные ставки'!B15</f>
        <v>89.32114335600001</v>
      </c>
      <c r="J62" s="573">
        <f>I62-I62/'Тарифные ставки'!$B$15</f>
        <v>14.886857226000004</v>
      </c>
      <c r="K62" s="450">
        <v>83.45041125</v>
      </c>
      <c r="L62" s="450">
        <f t="shared" si="4"/>
        <v>7.034994816757134</v>
      </c>
    </row>
    <row r="63" spans="1:12" ht="15.75" hidden="1">
      <c r="A63" s="135"/>
      <c r="B63" s="52"/>
      <c r="C63" s="70"/>
      <c r="D63" s="233" t="s">
        <v>2312</v>
      </c>
      <c r="E63" s="570">
        <f>'Тарифные ставки'!$B$5</f>
        <v>137.4825</v>
      </c>
      <c r="F63" s="399">
        <v>0.1</v>
      </c>
      <c r="G63" s="399">
        <f t="shared" si="3"/>
        <v>13.748249999999999</v>
      </c>
      <c r="H63" s="399"/>
      <c r="I63" s="399"/>
      <c r="J63" s="574"/>
      <c r="K63" s="490"/>
      <c r="L63" s="490"/>
    </row>
    <row r="64" spans="1:12" ht="15.75">
      <c r="A64" s="136" t="s">
        <v>1977</v>
      </c>
      <c r="B64" s="61" t="s">
        <v>1978</v>
      </c>
      <c r="C64" s="74" t="s">
        <v>1093</v>
      </c>
      <c r="D64" s="234" t="s">
        <v>1105</v>
      </c>
      <c r="E64" s="568">
        <f>'Тарифные ставки'!$B$6</f>
        <v>148.166</v>
      </c>
      <c r="F64" s="398">
        <v>5</v>
      </c>
      <c r="G64" s="398">
        <f t="shared" si="3"/>
        <v>740.8299999999999</v>
      </c>
      <c r="H64" s="398">
        <f>G64*'Тарифные ставки'!$B$13</f>
        <v>1911.3413999999998</v>
      </c>
      <c r="I64" s="398">
        <f>H64*'Тарифные ставки'!B14*'Тарифные ставки'!B15</f>
        <v>2316.5457767999997</v>
      </c>
      <c r="J64" s="575">
        <f>I64-I64/'Тарифные ставки'!$B$15</f>
        <v>386.09096279999994</v>
      </c>
      <c r="K64" s="491">
        <v>2163.227625</v>
      </c>
      <c r="L64" s="491">
        <f t="shared" si="4"/>
        <v>7.087471980670543</v>
      </c>
    </row>
    <row r="65" spans="1:12" ht="15.75">
      <c r="A65" s="136" t="s">
        <v>1979</v>
      </c>
      <c r="B65" s="61" t="s">
        <v>1980</v>
      </c>
      <c r="C65" s="74" t="s">
        <v>1093</v>
      </c>
      <c r="D65" s="234" t="s">
        <v>1105</v>
      </c>
      <c r="E65" s="568">
        <f>'Тарифные ставки'!$B$6</f>
        <v>148.166</v>
      </c>
      <c r="F65" s="398">
        <v>1.1</v>
      </c>
      <c r="G65" s="398">
        <f t="shared" si="3"/>
        <v>162.98260000000002</v>
      </c>
      <c r="H65" s="398">
        <f>G65*'Тарифные ставки'!$B$13</f>
        <v>420.4951080000001</v>
      </c>
      <c r="I65" s="398">
        <f>H65*'Тарифные ставки'!B14*'Тарифные ставки'!B15</f>
        <v>509.64007089600005</v>
      </c>
      <c r="J65" s="575">
        <f>I65-I65/'Тарифные ставки'!$B$15</f>
        <v>84.94001181599998</v>
      </c>
      <c r="K65" s="491">
        <v>475.91007750000006</v>
      </c>
      <c r="L65" s="491">
        <f t="shared" si="4"/>
        <v>7.087471980670543</v>
      </c>
    </row>
    <row r="66" spans="1:12" ht="15.75">
      <c r="A66" s="133" t="s">
        <v>838</v>
      </c>
      <c r="B66" s="31" t="s">
        <v>839</v>
      </c>
      <c r="C66" s="244" t="s">
        <v>811</v>
      </c>
      <c r="D66" s="24"/>
      <c r="E66" s="569"/>
      <c r="F66" s="474"/>
      <c r="G66" s="400"/>
      <c r="H66" s="400"/>
      <c r="I66" s="400"/>
      <c r="J66" s="573"/>
      <c r="K66" s="450"/>
      <c r="L66" s="450"/>
    </row>
    <row r="67" spans="1:12" ht="15.75">
      <c r="A67" s="134"/>
      <c r="B67" s="41" t="s">
        <v>840</v>
      </c>
      <c r="C67" s="236"/>
      <c r="D67" s="237" t="s">
        <v>1104</v>
      </c>
      <c r="E67" s="566">
        <f>'Тарифные ставки'!$B$6</f>
        <v>148.166</v>
      </c>
      <c r="F67" s="475">
        <v>0.25</v>
      </c>
      <c r="G67" s="396">
        <f t="shared" si="2"/>
        <v>37.0415</v>
      </c>
      <c r="H67" s="396">
        <f>G67*'Тарифные ставки'!$B$13</f>
        <v>95.56707</v>
      </c>
      <c r="I67" s="396">
        <f>H67*'Тарифные ставки'!B14*'Тарифные ставки'!B15</f>
        <v>115.82728884</v>
      </c>
      <c r="J67" s="578">
        <f>I67-I67/'Тарифные ставки'!$B$15</f>
        <v>19.304548139999994</v>
      </c>
      <c r="K67" s="457">
        <v>108.16138124999999</v>
      </c>
      <c r="L67" s="457">
        <f>I67/K67*100-100</f>
        <v>7.087471980670543</v>
      </c>
    </row>
    <row r="68" spans="1:12" ht="15.75">
      <c r="A68" s="134"/>
      <c r="B68" s="41" t="s">
        <v>841</v>
      </c>
      <c r="C68" s="236"/>
      <c r="D68" s="237" t="s">
        <v>2312</v>
      </c>
      <c r="E68" s="579">
        <f>'Тарифные ставки'!$B$5</f>
        <v>137.4825</v>
      </c>
      <c r="F68" s="475">
        <v>0.25</v>
      </c>
      <c r="G68" s="396">
        <f t="shared" si="2"/>
        <v>34.370625</v>
      </c>
      <c r="H68" s="396">
        <f>G68*'Тарифные ставки'!$B$13</f>
        <v>88.67621249999999</v>
      </c>
      <c r="I68" s="396">
        <f>H68*'Тарифные ставки'!B14*'Тарифные ставки'!B15</f>
        <v>107.47556954999999</v>
      </c>
      <c r="J68" s="578">
        <f>I68-I68/'Тарифные ставки'!$B$15</f>
        <v>17.912594924999993</v>
      </c>
      <c r="K68" s="457">
        <v>100.464646875</v>
      </c>
      <c r="L68" s="457">
        <f>I68/K68*100-100</f>
        <v>6.978497305348725</v>
      </c>
    </row>
    <row r="69" spans="1:12" ht="15.75">
      <c r="A69" s="134"/>
      <c r="B69" s="41" t="s">
        <v>1500</v>
      </c>
      <c r="C69" s="236"/>
      <c r="D69" s="237" t="s">
        <v>2312</v>
      </c>
      <c r="E69" s="579">
        <f>'Тарифные ставки'!$B$5</f>
        <v>137.4825</v>
      </c>
      <c r="F69" s="475">
        <v>0.2</v>
      </c>
      <c r="G69" s="396">
        <f t="shared" si="2"/>
        <v>27.496499999999997</v>
      </c>
      <c r="H69" s="396">
        <f>G69*'Тарифные ставки'!$B$13</f>
        <v>70.94097</v>
      </c>
      <c r="I69" s="396">
        <f>H69*'Тарифные ставки'!B14*'Тарифные ставки'!B15</f>
        <v>85.98045563999999</v>
      </c>
      <c r="J69" s="578">
        <f>I69-I69/'Тарифные ставки'!$B$15</f>
        <v>14.33007594</v>
      </c>
      <c r="K69" s="457">
        <v>80.3717175</v>
      </c>
      <c r="L69" s="457">
        <f>I69/K69*100-100</f>
        <v>6.978497305348725</v>
      </c>
    </row>
    <row r="70" spans="1:12" ht="15.75">
      <c r="A70" s="135"/>
      <c r="B70" s="42" t="s">
        <v>1501</v>
      </c>
      <c r="C70" s="245"/>
      <c r="D70" s="233" t="s">
        <v>2312</v>
      </c>
      <c r="E70" s="570">
        <f>'Тарифные ставки'!$B$5</f>
        <v>137.4825</v>
      </c>
      <c r="F70" s="466">
        <v>0.5</v>
      </c>
      <c r="G70" s="399">
        <f t="shared" si="2"/>
        <v>68.74125</v>
      </c>
      <c r="H70" s="399">
        <f>G70*'Тарифные ставки'!$B$13</f>
        <v>177.35242499999998</v>
      </c>
      <c r="I70" s="399">
        <f>H70*'Тарифные ставки'!B14*'Тарифные ставки'!B15</f>
        <v>214.95113909999998</v>
      </c>
      <c r="J70" s="574">
        <f>I70-I70/'Тарифные ставки'!$B$15</f>
        <v>35.82518984999999</v>
      </c>
      <c r="K70" s="490">
        <v>200.92929375</v>
      </c>
      <c r="L70" s="490">
        <f>I70/K70*100-100</f>
        <v>6.978497305348725</v>
      </c>
    </row>
    <row r="71" spans="1:12" ht="15.75">
      <c r="A71" s="133" t="s">
        <v>1502</v>
      </c>
      <c r="B71" s="631" t="s">
        <v>2425</v>
      </c>
      <c r="C71" s="72" t="s">
        <v>1981</v>
      </c>
      <c r="D71" s="228" t="s">
        <v>2312</v>
      </c>
      <c r="E71" s="569">
        <f>'Тарифные ставки'!$B$5</f>
        <v>137.4825</v>
      </c>
      <c r="F71" s="400">
        <v>0.8</v>
      </c>
      <c r="G71" s="400">
        <f t="shared" si="2"/>
        <v>109.98599999999999</v>
      </c>
      <c r="H71" s="400">
        <f>(G71+G72)*'Тарифные ставки'!$B$13</f>
        <v>589.5785040000001</v>
      </c>
      <c r="I71" s="400">
        <f>H71*'Тарифные ставки'!B14*'Тарифные ставки'!B15</f>
        <v>714.5691468480001</v>
      </c>
      <c r="J71" s="573">
        <f>I71-I71/'Тарифные ставки'!$B$15</f>
        <v>119.09485780800003</v>
      </c>
      <c r="K71" s="450">
        <v>667.60329</v>
      </c>
      <c r="L71" s="450">
        <f>I71/K71*100-100</f>
        <v>7.034994816757134</v>
      </c>
    </row>
    <row r="72" spans="1:12" ht="15.75">
      <c r="A72" s="135"/>
      <c r="B72" s="632"/>
      <c r="C72" s="70"/>
      <c r="D72" s="233" t="s">
        <v>846</v>
      </c>
      <c r="E72" s="570">
        <f>'Тарифные ставки'!$B$6</f>
        <v>148.166</v>
      </c>
      <c r="F72" s="399">
        <v>0.8</v>
      </c>
      <c r="G72" s="399">
        <f t="shared" si="2"/>
        <v>118.53280000000001</v>
      </c>
      <c r="H72" s="399"/>
      <c r="I72" s="399"/>
      <c r="J72" s="574"/>
      <c r="K72" s="490"/>
      <c r="L72" s="490"/>
    </row>
    <row r="73" spans="1:12" ht="15.75">
      <c r="A73" s="136" t="s">
        <v>1503</v>
      </c>
      <c r="B73" s="61" t="s">
        <v>1504</v>
      </c>
      <c r="C73" s="74" t="s">
        <v>1505</v>
      </c>
      <c r="D73" s="234" t="s">
        <v>1105</v>
      </c>
      <c r="E73" s="568">
        <f>'Тарифные ставки'!$B$6</f>
        <v>148.166</v>
      </c>
      <c r="F73" s="398">
        <v>0.7</v>
      </c>
      <c r="G73" s="398">
        <f t="shared" si="2"/>
        <v>103.71619999999999</v>
      </c>
      <c r="H73" s="398">
        <f>G73*'Тарифные ставки'!$B$13</f>
        <v>267.58779599999997</v>
      </c>
      <c r="I73" s="398">
        <f>H73*'Тарифные ставки'!B14*'Тарифные ставки'!B15</f>
        <v>324.3164087519999</v>
      </c>
      <c r="J73" s="575">
        <f>I73-I73/'Тарифные ставки'!$B$15</f>
        <v>54.05273479199997</v>
      </c>
      <c r="K73" s="491">
        <v>302.85186749999997</v>
      </c>
      <c r="L73" s="491">
        <f>I73/K73*100-100</f>
        <v>7.087471980670529</v>
      </c>
    </row>
    <row r="74" spans="1:12" ht="15.75">
      <c r="A74" s="136" t="s">
        <v>1506</v>
      </c>
      <c r="B74" s="61" t="s">
        <v>1507</v>
      </c>
      <c r="C74" s="74" t="s">
        <v>1722</v>
      </c>
      <c r="D74" s="234" t="s">
        <v>1105</v>
      </c>
      <c r="E74" s="568">
        <f>'Тарифные ставки'!$B$6</f>
        <v>148.166</v>
      </c>
      <c r="F74" s="398">
        <v>1</v>
      </c>
      <c r="G74" s="398">
        <f t="shared" si="2"/>
        <v>148.166</v>
      </c>
      <c r="H74" s="398">
        <f>G74*'Тарифные ставки'!$B$13</f>
        <v>382.26828</v>
      </c>
      <c r="I74" s="398">
        <f>H74*'Тарифные ставки'!B14*'Тарифные ставки'!B15</f>
        <v>463.30915536</v>
      </c>
      <c r="J74" s="575">
        <f>I74-I74/'Тарифные ставки'!$B$15</f>
        <v>77.21819255999998</v>
      </c>
      <c r="K74" s="491">
        <v>432.64552499999996</v>
      </c>
      <c r="L74" s="491">
        <f>I74/K74*100-100</f>
        <v>7.087471980670543</v>
      </c>
    </row>
    <row r="75" spans="1:12" ht="15.75">
      <c r="A75" s="136" t="s">
        <v>1508</v>
      </c>
      <c r="B75" s="61" t="s">
        <v>1982</v>
      </c>
      <c r="C75" s="74" t="s">
        <v>1093</v>
      </c>
      <c r="D75" s="234" t="s">
        <v>1105</v>
      </c>
      <c r="E75" s="568">
        <f>'Тарифные ставки'!$B$6</f>
        <v>148.166</v>
      </c>
      <c r="F75" s="398">
        <v>0.83</v>
      </c>
      <c r="G75" s="398">
        <f t="shared" si="2"/>
        <v>122.97778</v>
      </c>
      <c r="H75" s="398">
        <f>G75*'Тарифные ставки'!$B$13</f>
        <v>317.2826724</v>
      </c>
      <c r="I75" s="398">
        <f>H75*'Тарифные ставки'!B14*'Тарифные ставки'!B15</f>
        <v>384.5465989488</v>
      </c>
      <c r="J75" s="575">
        <f>I75-I75/'Тарифные ставки'!$B$15</f>
        <v>64.09109982479998</v>
      </c>
      <c r="K75" s="491">
        <v>359.09578575</v>
      </c>
      <c r="L75" s="491">
        <f>I75/K75*100-100</f>
        <v>7.087471980670543</v>
      </c>
    </row>
    <row r="76" spans="1:12" ht="15.75">
      <c r="A76" s="133" t="s">
        <v>1983</v>
      </c>
      <c r="B76" s="31" t="s">
        <v>2496</v>
      </c>
      <c r="C76" s="72" t="s">
        <v>1985</v>
      </c>
      <c r="D76" s="228" t="s">
        <v>2312</v>
      </c>
      <c r="E76" s="569">
        <f>'Тарифные ставки'!$B$5</f>
        <v>137.4825</v>
      </c>
      <c r="F76" s="400">
        <v>1</v>
      </c>
      <c r="G76" s="400">
        <f>E76*F76</f>
        <v>137.4825</v>
      </c>
      <c r="H76" s="400">
        <f>(G76+G77)*'Тарифные ставки'!$B$13</f>
        <v>736.9731300000001</v>
      </c>
      <c r="I76" s="400">
        <f>H76*'Тарифные ставки'!B14*'Тарифные ставки'!B15</f>
        <v>893.21143356</v>
      </c>
      <c r="J76" s="573">
        <f>I76-I76/'Тарифные ставки'!$B$15</f>
        <v>148.86857225999995</v>
      </c>
      <c r="K76" s="450">
        <v>834.5041125</v>
      </c>
      <c r="L76" s="450">
        <f>I76/K76*100-100</f>
        <v>7.034994816757106</v>
      </c>
    </row>
    <row r="77" spans="1:12" ht="15.75" hidden="1">
      <c r="A77" s="135"/>
      <c r="B77" s="52"/>
      <c r="C77" s="70"/>
      <c r="D77" s="233" t="s">
        <v>846</v>
      </c>
      <c r="E77" s="570">
        <f>'Тарифные ставки'!$B$6</f>
        <v>148.166</v>
      </c>
      <c r="F77" s="399">
        <v>1</v>
      </c>
      <c r="G77" s="399">
        <f>E77*F77</f>
        <v>148.166</v>
      </c>
      <c r="H77" s="399"/>
      <c r="I77" s="399"/>
      <c r="J77" s="574"/>
      <c r="K77" s="490"/>
      <c r="L77" s="490"/>
    </row>
    <row r="78" spans="1:12" ht="15.75">
      <c r="A78" s="133" t="s">
        <v>1984</v>
      </c>
      <c r="B78" s="31" t="s">
        <v>2497</v>
      </c>
      <c r="C78" s="72" t="s">
        <v>1986</v>
      </c>
      <c r="D78" s="228" t="s">
        <v>2312</v>
      </c>
      <c r="E78" s="569">
        <f>'Тарифные ставки'!$B$5</f>
        <v>137.4825</v>
      </c>
      <c r="F78" s="400">
        <v>0.45</v>
      </c>
      <c r="G78" s="400">
        <f>E78*F78</f>
        <v>61.867124999999994</v>
      </c>
      <c r="H78" s="400">
        <f>(G78+G79)*'Тарифные ставки'!$B$13</f>
        <v>197.8440105</v>
      </c>
      <c r="I78" s="400">
        <f>H78*'Тарифные ставки'!B14*'Тарифные ставки'!B15</f>
        <v>239.78694072599998</v>
      </c>
      <c r="J78" s="573">
        <f>I78-I78/'Тарифные ставки'!$B$15</f>
        <v>39.96449012099998</v>
      </c>
      <c r="K78" s="450">
        <v>224.10091687500005</v>
      </c>
      <c r="L78" s="450">
        <f>I78/K78*100-100</f>
        <v>6.999535775995653</v>
      </c>
    </row>
    <row r="79" spans="1:12" ht="15.75" hidden="1">
      <c r="A79" s="135"/>
      <c r="B79" s="52"/>
      <c r="C79" s="70"/>
      <c r="D79" s="233" t="s">
        <v>846</v>
      </c>
      <c r="E79" s="570">
        <f>'Тарифные ставки'!$B$6</f>
        <v>148.166</v>
      </c>
      <c r="F79" s="399">
        <v>0.1</v>
      </c>
      <c r="G79" s="399">
        <f>E79*F79</f>
        <v>14.816600000000001</v>
      </c>
      <c r="H79" s="399"/>
      <c r="I79" s="399"/>
      <c r="J79" s="574"/>
      <c r="K79" s="490"/>
      <c r="L79" s="490"/>
    </row>
    <row r="80" spans="1:12" ht="15.75">
      <c r="A80" s="136" t="s">
        <v>1509</v>
      </c>
      <c r="B80" s="138" t="s">
        <v>2426</v>
      </c>
      <c r="C80" s="74"/>
      <c r="D80" s="234" t="s">
        <v>2312</v>
      </c>
      <c r="E80" s="568">
        <f>'Тарифные ставки'!$B$5</f>
        <v>137.4825</v>
      </c>
      <c r="F80" s="398">
        <v>6</v>
      </c>
      <c r="G80" s="398">
        <f t="shared" si="2"/>
        <v>824.895</v>
      </c>
      <c r="H80" s="398">
        <f>(G80+G81)*'Тарифные ставки'!$B$13</f>
        <v>4421.83878</v>
      </c>
      <c r="I80" s="398">
        <f>H80*'Тарифные ставки'!B14*'Тарифные ставки'!B15</f>
        <v>5359.26860136</v>
      </c>
      <c r="J80" s="398">
        <f>I80-I80/'Тарифные ставки'!$B$15</f>
        <v>893.2114335599999</v>
      </c>
      <c r="K80" s="450">
        <v>5007.024675</v>
      </c>
      <c r="L80" s="450">
        <f>I80/K80*100-100</f>
        <v>7.034994816757106</v>
      </c>
    </row>
    <row r="81" spans="1:12" ht="15.75" hidden="1">
      <c r="A81" s="135"/>
      <c r="B81" s="196"/>
      <c r="C81" s="245"/>
      <c r="D81" s="233" t="s">
        <v>1105</v>
      </c>
      <c r="E81" s="570">
        <f>'Тарифные ставки'!$B$6</f>
        <v>148.166</v>
      </c>
      <c r="F81" s="466">
        <v>6</v>
      </c>
      <c r="G81" s="399">
        <f t="shared" si="2"/>
        <v>888.996</v>
      </c>
      <c r="H81" s="399"/>
      <c r="I81" s="399"/>
      <c r="J81" s="574"/>
      <c r="K81" s="490"/>
      <c r="L81" s="490"/>
    </row>
    <row r="82" spans="1:12" ht="26.25" customHeight="1">
      <c r="A82" s="166"/>
      <c r="B82" s="280" t="s">
        <v>1987</v>
      </c>
      <c r="C82" s="354"/>
      <c r="D82" s="190"/>
      <c r="E82" s="576"/>
      <c r="F82" s="577"/>
      <c r="G82" s="577"/>
      <c r="H82" s="577"/>
      <c r="I82" s="577"/>
      <c r="J82" s="577"/>
      <c r="K82" s="457"/>
      <c r="L82" s="457"/>
    </row>
    <row r="83" spans="1:12" ht="15.75">
      <c r="A83" s="136" t="s">
        <v>1510</v>
      </c>
      <c r="B83" s="61" t="s">
        <v>844</v>
      </c>
      <c r="C83" s="74" t="s">
        <v>186</v>
      </c>
      <c r="D83" s="234" t="s">
        <v>2312</v>
      </c>
      <c r="E83" s="568">
        <f>'Тарифные ставки'!$B$5</f>
        <v>137.4825</v>
      </c>
      <c r="F83" s="398">
        <v>1.3</v>
      </c>
      <c r="G83" s="398">
        <f t="shared" si="2"/>
        <v>178.72725</v>
      </c>
      <c r="H83" s="398">
        <f>G83*'Тарифные ставки'!$B$13</f>
        <v>461.116305</v>
      </c>
      <c r="I83" s="398">
        <f>H83*'Тарифные ставки'!B14*'Тарифные ставки'!B15</f>
        <v>558.87296166</v>
      </c>
      <c r="J83" s="398">
        <f>I83-I83/'Тарифные ставки'!$B$15</f>
        <v>93.14549360999996</v>
      </c>
      <c r="K83" s="491">
        <v>522.41616375</v>
      </c>
      <c r="L83" s="491">
        <f>I83/K83*100-100</f>
        <v>6.978497305348739</v>
      </c>
    </row>
    <row r="84" spans="1:12" ht="15.75">
      <c r="A84" s="136" t="s">
        <v>845</v>
      </c>
      <c r="B84" s="61" t="s">
        <v>2043</v>
      </c>
      <c r="C84" s="74"/>
      <c r="D84" s="234" t="s">
        <v>2312</v>
      </c>
      <c r="E84" s="568">
        <f>'Тарифные ставки'!$B$5</f>
        <v>137.4825</v>
      </c>
      <c r="F84" s="398">
        <v>0.13</v>
      </c>
      <c r="G84" s="398">
        <f t="shared" si="2"/>
        <v>17.872725</v>
      </c>
      <c r="H84" s="398">
        <f>G84*'Тарифные ставки'!$B$13</f>
        <v>46.1116305</v>
      </c>
      <c r="I84" s="398">
        <f>H84*'Тарифные ставки'!B14*'Тарифные ставки'!B15</f>
        <v>55.88729616599999</v>
      </c>
      <c r="J84" s="398">
        <f>I84-I84/'Тарифные ставки'!$B$15</f>
        <v>9.314549360999997</v>
      </c>
      <c r="K84" s="491">
        <v>52.241616375</v>
      </c>
      <c r="L84" s="491">
        <f>I84/K84*100-100</f>
        <v>6.978497305348725</v>
      </c>
    </row>
    <row r="85" spans="1:12" ht="25.5" customHeight="1">
      <c r="A85" s="166"/>
      <c r="B85" s="280" t="s">
        <v>2040</v>
      </c>
      <c r="C85" s="354"/>
      <c r="D85" s="190"/>
      <c r="E85" s="576"/>
      <c r="F85" s="577"/>
      <c r="G85" s="577"/>
      <c r="H85" s="577"/>
      <c r="I85" s="577"/>
      <c r="J85" s="577"/>
      <c r="K85" s="457"/>
      <c r="L85" s="457"/>
    </row>
    <row r="86" spans="1:12" ht="15.75">
      <c r="A86" s="136" t="s">
        <v>2044</v>
      </c>
      <c r="B86" s="557" t="s">
        <v>2045</v>
      </c>
      <c r="C86" s="74" t="s">
        <v>2046</v>
      </c>
      <c r="D86" s="234" t="s">
        <v>2312</v>
      </c>
      <c r="E86" s="568">
        <f>'Тарифные ставки'!$B$5</f>
        <v>137.4825</v>
      </c>
      <c r="F86" s="398">
        <v>0.75</v>
      </c>
      <c r="G86" s="398">
        <f aca="true" t="shared" si="5" ref="G86:G95">E86*F86</f>
        <v>103.111875</v>
      </c>
      <c r="H86" s="398">
        <f>G86*'Тарифные ставки'!$B$13</f>
        <v>266.0286375</v>
      </c>
      <c r="I86" s="398">
        <f>H86*'Тарифные ставки'!B14*'Тарифные ставки'!B15</f>
        <v>322.42670864999997</v>
      </c>
      <c r="J86" s="398">
        <f>I86-I86/'Тарифные ставки'!$B$15</f>
        <v>53.737784774999966</v>
      </c>
      <c r="K86" s="491">
        <v>301.393940625</v>
      </c>
      <c r="L86" s="491">
        <f aca="true" t="shared" si="6" ref="L86:L93">I86/K86*100-100</f>
        <v>6.978497305348725</v>
      </c>
    </row>
    <row r="87" spans="1:12" ht="15.75" customHeight="1" hidden="1">
      <c r="A87" s="136" t="s">
        <v>2047</v>
      </c>
      <c r="B87" s="61" t="s">
        <v>2048</v>
      </c>
      <c r="C87" s="74" t="s">
        <v>1764</v>
      </c>
      <c r="D87" s="234" t="s">
        <v>2312</v>
      </c>
      <c r="E87" s="568">
        <f>'Тарифные ставки'!$B$5</f>
        <v>137.4825</v>
      </c>
      <c r="F87" s="398">
        <v>0.75</v>
      </c>
      <c r="G87" s="398">
        <f t="shared" si="5"/>
        <v>103.111875</v>
      </c>
      <c r="H87" s="398">
        <f>G87*'Тарифные ставки'!$B$13</f>
        <v>266.0286375</v>
      </c>
      <c r="I87" s="398">
        <f>H87*'Тарифные ставки'!B14*'Тарифные ставки'!B15</f>
        <v>322.42670864999997</v>
      </c>
      <c r="J87" s="398">
        <f>I87-I87/'Тарифные ставки'!$B$15</f>
        <v>53.737784774999966</v>
      </c>
      <c r="K87" s="491">
        <v>301.393940625</v>
      </c>
      <c r="L87" s="491">
        <f t="shared" si="6"/>
        <v>6.978497305348725</v>
      </c>
    </row>
    <row r="88" spans="1:12" ht="15.75">
      <c r="A88" s="136" t="s">
        <v>2049</v>
      </c>
      <c r="B88" s="61" t="s">
        <v>2498</v>
      </c>
      <c r="C88" s="74" t="s">
        <v>2050</v>
      </c>
      <c r="D88" s="234" t="s">
        <v>2312</v>
      </c>
      <c r="E88" s="568">
        <f>'Тарифные ставки'!$B$5</f>
        <v>137.4825</v>
      </c>
      <c r="F88" s="398">
        <v>0.13</v>
      </c>
      <c r="G88" s="398">
        <f t="shared" si="5"/>
        <v>17.872725</v>
      </c>
      <c r="H88" s="398">
        <f>G88*'Тарифные ставки'!$B$13</f>
        <v>46.1116305</v>
      </c>
      <c r="I88" s="398">
        <f>H88*'Тарифные ставки'!B14*'Тарифные ставки'!B15</f>
        <v>55.88729616599999</v>
      </c>
      <c r="J88" s="398">
        <f>I88-I88/'Тарифные ставки'!$B$15</f>
        <v>9.314549360999997</v>
      </c>
      <c r="K88" s="491">
        <v>52.241616375</v>
      </c>
      <c r="L88" s="491">
        <f t="shared" si="6"/>
        <v>6.978497305348725</v>
      </c>
    </row>
    <row r="89" spans="1:12" ht="31.5" hidden="1">
      <c r="A89" s="136" t="s">
        <v>432</v>
      </c>
      <c r="B89" s="61" t="s">
        <v>433</v>
      </c>
      <c r="C89" s="74" t="s">
        <v>434</v>
      </c>
      <c r="D89" s="234" t="s">
        <v>2312</v>
      </c>
      <c r="E89" s="568">
        <f>'Тарифные ставки'!$B$5</f>
        <v>137.4825</v>
      </c>
      <c r="F89" s="398">
        <v>0.04</v>
      </c>
      <c r="G89" s="398">
        <f t="shared" si="5"/>
        <v>5.4993</v>
      </c>
      <c r="H89" s="398">
        <f>G89*'Тарифные ставки'!$B$13</f>
        <v>14.188194</v>
      </c>
      <c r="I89" s="398">
        <f>H89*'Тарифные ставки'!B14*'Тарифные ставки'!B15</f>
        <v>17.196091128</v>
      </c>
      <c r="J89" s="398">
        <f>I89-I89/'Тарифные ставки'!$B$15</f>
        <v>2.8660151879999987</v>
      </c>
      <c r="K89" s="491">
        <v>16.074343499999998</v>
      </c>
      <c r="L89" s="491">
        <f t="shared" si="6"/>
        <v>6.978497305348739</v>
      </c>
    </row>
    <row r="90" spans="1:12" ht="15.75" hidden="1">
      <c r="A90" s="136" t="s">
        <v>435</v>
      </c>
      <c r="B90" s="61" t="s">
        <v>436</v>
      </c>
      <c r="C90" s="74" t="s">
        <v>1758</v>
      </c>
      <c r="D90" s="234" t="s">
        <v>2312</v>
      </c>
      <c r="E90" s="568">
        <f>'Тарифные ставки'!$B$5</f>
        <v>137.4825</v>
      </c>
      <c r="F90" s="398">
        <v>0.6</v>
      </c>
      <c r="G90" s="398">
        <f t="shared" si="5"/>
        <v>82.48949999999999</v>
      </c>
      <c r="H90" s="398">
        <f>G90*'Тарифные ставки'!$B$13</f>
        <v>212.82290999999998</v>
      </c>
      <c r="I90" s="398">
        <f>H90*'Тарифные ставки'!B14*'Тарифные ставки'!B15</f>
        <v>257.94136691999995</v>
      </c>
      <c r="J90" s="398">
        <f>I90-I90/'Тарифные ставки'!$B$15</f>
        <v>42.99022781999997</v>
      </c>
      <c r="K90" s="491">
        <v>241.1151525</v>
      </c>
      <c r="L90" s="491">
        <f t="shared" si="6"/>
        <v>6.978497305348725</v>
      </c>
    </row>
    <row r="91" spans="1:12" ht="15.75" hidden="1">
      <c r="A91" s="136" t="s">
        <v>437</v>
      </c>
      <c r="B91" s="61" t="s">
        <v>438</v>
      </c>
      <c r="C91" s="74" t="s">
        <v>439</v>
      </c>
      <c r="D91" s="234" t="s">
        <v>2312</v>
      </c>
      <c r="E91" s="568">
        <f>'Тарифные ставки'!$B$5</f>
        <v>137.4825</v>
      </c>
      <c r="F91" s="398">
        <v>0.04</v>
      </c>
      <c r="G91" s="398">
        <f t="shared" si="5"/>
        <v>5.4993</v>
      </c>
      <c r="H91" s="398">
        <f>G91*'Тарифные ставки'!$B$13</f>
        <v>14.188194</v>
      </c>
      <c r="I91" s="398">
        <f>H91*'Тарифные ставки'!B14*'Тарифные ставки'!B15</f>
        <v>17.196091128</v>
      </c>
      <c r="J91" s="398">
        <f>I91-I91/'Тарифные ставки'!$B$15</f>
        <v>2.8660151879999987</v>
      </c>
      <c r="K91" s="491">
        <v>16.074343499999998</v>
      </c>
      <c r="L91" s="491">
        <f t="shared" si="6"/>
        <v>6.978497305348739</v>
      </c>
    </row>
    <row r="92" spans="1:12" ht="31.5">
      <c r="A92" s="136" t="s">
        <v>440</v>
      </c>
      <c r="B92" s="61" t="s">
        <v>2499</v>
      </c>
      <c r="C92" s="74" t="s">
        <v>1093</v>
      </c>
      <c r="D92" s="234" t="s">
        <v>2312</v>
      </c>
      <c r="E92" s="568">
        <f>'Тарифные ставки'!$B$5</f>
        <v>137.4825</v>
      </c>
      <c r="F92" s="398">
        <v>1</v>
      </c>
      <c r="G92" s="398">
        <f t="shared" si="5"/>
        <v>137.4825</v>
      </c>
      <c r="H92" s="398">
        <f>G92*'Тарифные ставки'!$B$13</f>
        <v>354.70484999999996</v>
      </c>
      <c r="I92" s="398">
        <f>H92*'Тарифные ставки'!B14*'Тарифные ставки'!B15</f>
        <v>429.90227819999996</v>
      </c>
      <c r="J92" s="398">
        <f>I92-I92/'Тарифные ставки'!$B$15</f>
        <v>71.65037969999997</v>
      </c>
      <c r="K92" s="491">
        <v>401.8585875</v>
      </c>
      <c r="L92" s="491">
        <f t="shared" si="6"/>
        <v>6.978497305348725</v>
      </c>
    </row>
    <row r="93" spans="1:12" ht="15.75" hidden="1">
      <c r="A93" s="136" t="s">
        <v>441</v>
      </c>
      <c r="B93" s="61" t="s">
        <v>1091</v>
      </c>
      <c r="C93" s="74"/>
      <c r="D93" s="234" t="s">
        <v>2312</v>
      </c>
      <c r="E93" s="568">
        <f>'Тарифные ставки'!$B$5</f>
        <v>137.4825</v>
      </c>
      <c r="F93" s="398">
        <v>0.04</v>
      </c>
      <c r="G93" s="398">
        <f t="shared" si="5"/>
        <v>5.4993</v>
      </c>
      <c r="H93" s="398">
        <f>G93*'Тарифные ставки'!$B$13</f>
        <v>14.188194</v>
      </c>
      <c r="I93" s="398">
        <f>H93*'Тарифные ставки'!B14*'Тарифные ставки'!B15</f>
        <v>17.196091128</v>
      </c>
      <c r="J93" s="398">
        <f>I93-I93/'Тарифные ставки'!$B$15</f>
        <v>2.8660151879999987</v>
      </c>
      <c r="K93" s="491">
        <v>16.074343499999998</v>
      </c>
      <c r="L93" s="491">
        <f t="shared" si="6"/>
        <v>6.978497305348739</v>
      </c>
    </row>
    <row r="94" spans="1:12" ht="24.75" customHeight="1">
      <c r="A94" s="134"/>
      <c r="B94" s="280" t="s">
        <v>2134</v>
      </c>
      <c r="C94" s="68"/>
      <c r="D94" s="558"/>
      <c r="E94" s="579"/>
      <c r="F94" s="396"/>
      <c r="G94" s="396"/>
      <c r="H94" s="396"/>
      <c r="I94" s="396"/>
      <c r="J94" s="578"/>
      <c r="K94" s="457"/>
      <c r="L94" s="457"/>
    </row>
    <row r="95" spans="1:12" ht="31.5">
      <c r="A95" s="282" t="s">
        <v>97</v>
      </c>
      <c r="B95" s="61" t="s">
        <v>2427</v>
      </c>
      <c r="C95" s="74" t="s">
        <v>192</v>
      </c>
      <c r="D95" s="234" t="s">
        <v>2312</v>
      </c>
      <c r="E95" s="568">
        <f>'Тарифные ставки'!$B$5</f>
        <v>137.4825</v>
      </c>
      <c r="F95" s="398">
        <v>0.04</v>
      </c>
      <c r="G95" s="398">
        <f t="shared" si="5"/>
        <v>5.4993</v>
      </c>
      <c r="H95" s="398">
        <f>G95*'Тарифные ставки'!$B$13</f>
        <v>14.188194</v>
      </c>
      <c r="I95" s="398">
        <f>H95*'Тарифные ставки'!B14*'Тарифные ставки'!B15</f>
        <v>17.196091128</v>
      </c>
      <c r="J95" s="398">
        <f>I95-I95/'Тарифные ставки'!$B$15</f>
        <v>2.8660151879999987</v>
      </c>
      <c r="K95" s="491">
        <v>16.074343499999998</v>
      </c>
      <c r="L95" s="491">
        <f>I95/K95*100-100</f>
        <v>6.978497305348739</v>
      </c>
    </row>
    <row r="96" spans="1:12" ht="15.75" hidden="1">
      <c r="A96" s="136" t="s">
        <v>1988</v>
      </c>
      <c r="B96" s="61" t="s">
        <v>1989</v>
      </c>
      <c r="C96" s="74" t="s">
        <v>1990</v>
      </c>
      <c r="D96" s="234" t="s">
        <v>2312</v>
      </c>
      <c r="E96" s="568">
        <f>'Тарифные ставки'!$B$5</f>
        <v>137.4825</v>
      </c>
      <c r="F96" s="398">
        <v>0.5</v>
      </c>
      <c r="G96" s="398">
        <f>E96*F96</f>
        <v>68.74125</v>
      </c>
      <c r="H96" s="398">
        <f>G96*'Тарифные ставки'!$B$13</f>
        <v>177.35242499999998</v>
      </c>
      <c r="I96" s="398">
        <f>H96*'Тарифные ставки'!B14*'Тарифные ставки'!B15</f>
        <v>214.95113909999998</v>
      </c>
      <c r="J96" s="398">
        <f>I96-I96/'Тарифные ставки'!$B$15</f>
        <v>35.82518984999999</v>
      </c>
      <c r="K96" s="491">
        <v>200.92929375</v>
      </c>
      <c r="L96" s="491">
        <f>I96/K96*100-100</f>
        <v>6.978497305348725</v>
      </c>
    </row>
    <row r="97" spans="1:12" ht="36" customHeight="1">
      <c r="A97" s="282" t="s">
        <v>98</v>
      </c>
      <c r="B97" s="709" t="s">
        <v>2500</v>
      </c>
      <c r="C97" s="74" t="s">
        <v>1169</v>
      </c>
      <c r="D97" s="137" t="s">
        <v>1991</v>
      </c>
      <c r="E97" s="568">
        <f>'Тарифные ставки'!$B$5</f>
        <v>137.4825</v>
      </c>
      <c r="F97" s="398">
        <v>2.2</v>
      </c>
      <c r="G97" s="398">
        <f>E97*F97</f>
        <v>302.4615</v>
      </c>
      <c r="H97" s="398">
        <f>(G97+G98)*'Тарифные ставки'!$B$13</f>
        <v>1560.70134</v>
      </c>
      <c r="I97" s="398">
        <f>H97*'Тарифные ставки'!B14*'Тарифные ставки'!B15</f>
        <v>1891.57002408</v>
      </c>
      <c r="J97" s="398">
        <f>I97-I97/'Тарифные ставки'!$B$15</f>
        <v>315.26167067999995</v>
      </c>
      <c r="K97" s="491">
        <v>1768.1777850000003</v>
      </c>
      <c r="L97" s="491">
        <f>I97/K97*100-100</f>
        <v>6.978497305348725</v>
      </c>
    </row>
    <row r="98" spans="1:12" ht="15.75" hidden="1">
      <c r="A98" s="136"/>
      <c r="B98" s="709"/>
      <c r="C98" s="74"/>
      <c r="D98" s="559" t="s">
        <v>2312</v>
      </c>
      <c r="E98" s="568">
        <f>'Тарифные ставки'!$B$5</f>
        <v>137.4825</v>
      </c>
      <c r="F98" s="398">
        <v>2.2</v>
      </c>
      <c r="G98" s="398">
        <f>E98*F98</f>
        <v>302.4615</v>
      </c>
      <c r="H98" s="398"/>
      <c r="I98" s="398"/>
      <c r="J98" s="398"/>
      <c r="K98" s="491"/>
      <c r="L98" s="491"/>
    </row>
    <row r="99" spans="1:12" ht="15.75">
      <c r="A99" s="282" t="s">
        <v>99</v>
      </c>
      <c r="B99" s="708" t="s">
        <v>2428</v>
      </c>
      <c r="C99" s="74" t="s">
        <v>1169</v>
      </c>
      <c r="D99" s="559" t="s">
        <v>848</v>
      </c>
      <c r="E99" s="568">
        <f>'Тарифные ставки'!$B$6</f>
        <v>148.166</v>
      </c>
      <c r="F99" s="398">
        <v>1.7</v>
      </c>
      <c r="G99" s="398">
        <f>E99*F99</f>
        <v>251.88219999999998</v>
      </c>
      <c r="H99" s="398">
        <f>(G99+G100)*'Тарифные ставки'!$B$13</f>
        <v>1252.854321</v>
      </c>
      <c r="I99" s="398">
        <f>H99*'Тарифные ставки'!B14*'Тарифные ставки'!B15</f>
        <v>1518.4594370519999</v>
      </c>
      <c r="J99" s="398">
        <f>I99-I99/'Тарифные ставки'!$B$15</f>
        <v>253.0765728419999</v>
      </c>
      <c r="K99" s="491">
        <v>1418.6569912500001</v>
      </c>
      <c r="L99" s="491">
        <f>I99/K99*100-100</f>
        <v>7.0349948167570915</v>
      </c>
    </row>
    <row r="100" spans="1:12" ht="15.75" hidden="1">
      <c r="A100" s="136"/>
      <c r="B100" s="708"/>
      <c r="C100" s="74"/>
      <c r="D100" s="559" t="s">
        <v>2312</v>
      </c>
      <c r="E100" s="568">
        <f>'Тарифные ставки'!$B$5</f>
        <v>137.4825</v>
      </c>
      <c r="F100" s="398">
        <v>1.7</v>
      </c>
      <c r="G100" s="398">
        <f>E100*F100</f>
        <v>233.72024999999996</v>
      </c>
      <c r="H100" s="398"/>
      <c r="I100" s="398"/>
      <c r="J100" s="398"/>
      <c r="K100" s="491"/>
      <c r="L100" s="491"/>
    </row>
    <row r="101" spans="2:6" ht="15.75">
      <c r="B101" s="6"/>
      <c r="D101" s="7"/>
      <c r="E101" s="284"/>
      <c r="F101" s="113"/>
    </row>
    <row r="102" spans="7:9" ht="15.75">
      <c r="G102" s="58"/>
      <c r="H102" s="58"/>
      <c r="I102" s="58"/>
    </row>
    <row r="103" spans="7:9" ht="15.75">
      <c r="G103" s="58"/>
      <c r="H103" s="58"/>
      <c r="I103" s="58"/>
    </row>
    <row r="104" spans="7:9" ht="15.75">
      <c r="G104" s="58"/>
      <c r="H104" s="58"/>
      <c r="I104" s="58"/>
    </row>
    <row r="105" spans="7:9" ht="15.75">
      <c r="G105" s="58"/>
      <c r="H105" s="58"/>
      <c r="I105" s="58"/>
    </row>
    <row r="106" spans="7:9" ht="15.75">
      <c r="G106" s="58"/>
      <c r="H106" s="58"/>
      <c r="I106" s="58"/>
    </row>
    <row r="107" spans="7:9" ht="15.75">
      <c r="G107" s="58"/>
      <c r="H107" s="58"/>
      <c r="I107" s="58"/>
    </row>
    <row r="108" spans="7:9" ht="15.75">
      <c r="G108" s="58"/>
      <c r="H108" s="58"/>
      <c r="I108" s="58"/>
    </row>
    <row r="109" spans="7:9" ht="15.75">
      <c r="G109" s="58"/>
      <c r="H109" s="58"/>
      <c r="I109" s="58"/>
    </row>
    <row r="110" spans="7:9" ht="15.75">
      <c r="G110" s="58"/>
      <c r="H110" s="58"/>
      <c r="I110" s="58"/>
    </row>
    <row r="111" spans="7:9" ht="15.75">
      <c r="G111" s="58"/>
      <c r="H111" s="58"/>
      <c r="I111" s="58"/>
    </row>
    <row r="112" spans="7:9" ht="15.75">
      <c r="G112" s="58"/>
      <c r="H112" s="58"/>
      <c r="I112" s="58"/>
    </row>
    <row r="113" spans="7:9" ht="15.75">
      <c r="G113" s="58"/>
      <c r="H113" s="58"/>
      <c r="I113" s="58"/>
    </row>
    <row r="114" spans="7:9" ht="15.75">
      <c r="G114" s="58"/>
      <c r="H114" s="58"/>
      <c r="I114" s="58"/>
    </row>
    <row r="115" spans="7:9" ht="15.75">
      <c r="G115" s="58"/>
      <c r="H115" s="58"/>
      <c r="I115" s="58"/>
    </row>
  </sheetData>
  <sheetProtection/>
  <mergeCells count="8">
    <mergeCell ref="B99:B100"/>
    <mergeCell ref="B40:B41"/>
    <mergeCell ref="B71:B72"/>
    <mergeCell ref="B97:B98"/>
    <mergeCell ref="A1:J1"/>
    <mergeCell ref="A2:J2"/>
    <mergeCell ref="A4:J4"/>
    <mergeCell ref="A5:J5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  <rowBreaks count="1" manualBreakCount="1">
    <brk id="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0"/>
  <sheetViews>
    <sheetView view="pageBreakPreview" zoomScale="75" zoomScaleSheetLayoutView="75" zoomScalePageLayoutView="0" workbookViewId="0" topLeftCell="A14">
      <selection activeCell="V22" sqref="V22"/>
    </sheetView>
  </sheetViews>
  <sheetFormatPr defaultColWidth="9.00390625" defaultRowHeight="12.75"/>
  <cols>
    <col min="1" max="1" width="8.25390625" style="3" customWidth="1"/>
    <col min="2" max="2" width="55.375" style="3" customWidth="1"/>
    <col min="3" max="3" width="12.25390625" style="3" customWidth="1"/>
    <col min="4" max="4" width="14.75390625" style="283" hidden="1" customWidth="1"/>
    <col min="5" max="5" width="11.875" style="3" hidden="1" customWidth="1"/>
    <col min="6" max="6" width="9.375" style="3" hidden="1" customWidth="1"/>
    <col min="7" max="7" width="12.00390625" style="3" hidden="1" customWidth="1"/>
    <col min="8" max="8" width="13.00390625" style="3" hidden="1" customWidth="1"/>
    <col min="9" max="9" width="13.00390625" style="3" customWidth="1"/>
    <col min="10" max="10" width="13.875" style="3" customWidth="1"/>
    <col min="11" max="11" width="14.00390625" style="3" hidden="1" customWidth="1"/>
    <col min="12" max="12" width="11.00390625" style="3" hidden="1" customWidth="1"/>
    <col min="13" max="16384" width="9.125" style="3" customWidth="1"/>
  </cols>
  <sheetData>
    <row r="1" ht="15.75" hidden="1">
      <c r="A1" s="131" t="s">
        <v>1922</v>
      </c>
    </row>
    <row r="2" ht="15.75" hidden="1"/>
    <row r="3" spans="1:10" ht="49.5" customHeight="1" hidden="1">
      <c r="A3" s="8" t="s">
        <v>83</v>
      </c>
      <c r="B3" s="9" t="s">
        <v>82</v>
      </c>
      <c r="C3" s="10" t="s">
        <v>77</v>
      </c>
      <c r="D3" s="285" t="s">
        <v>81</v>
      </c>
      <c r="E3" s="9" t="s">
        <v>85</v>
      </c>
      <c r="F3" s="10" t="s">
        <v>78</v>
      </c>
      <c r="G3" s="10" t="s">
        <v>79</v>
      </c>
      <c r="H3" s="10" t="s">
        <v>80</v>
      </c>
      <c r="I3" s="9" t="s">
        <v>850</v>
      </c>
      <c r="J3" s="10" t="s">
        <v>1936</v>
      </c>
    </row>
    <row r="4" spans="1:10" ht="15.75" hidden="1">
      <c r="A4" s="136" t="s">
        <v>310</v>
      </c>
      <c r="B4" s="60" t="s">
        <v>311</v>
      </c>
      <c r="C4" s="60" t="s">
        <v>312</v>
      </c>
      <c r="D4" s="296" t="s">
        <v>53</v>
      </c>
      <c r="E4" s="55">
        <v>112.14</v>
      </c>
      <c r="F4" s="55">
        <v>2.4</v>
      </c>
      <c r="G4" s="55">
        <f>E4*F4</f>
        <v>269.13599999999997</v>
      </c>
      <c r="H4" s="55">
        <f>G4*3.45</f>
        <v>928.5192</v>
      </c>
      <c r="I4" s="55"/>
      <c r="J4" s="55">
        <v>2374.6957199999997</v>
      </c>
    </row>
    <row r="5" spans="1:10" ht="15.75" hidden="1">
      <c r="A5" s="136" t="s">
        <v>314</v>
      </c>
      <c r="B5" s="60" t="s">
        <v>313</v>
      </c>
      <c r="C5" s="60" t="s">
        <v>312</v>
      </c>
      <c r="D5" s="296" t="s">
        <v>53</v>
      </c>
      <c r="E5" s="55">
        <v>112.14</v>
      </c>
      <c r="F5" s="55">
        <v>2.8</v>
      </c>
      <c r="G5" s="55">
        <f aca="true" t="shared" si="0" ref="G5:G22">E5*F5</f>
        <v>313.99199999999996</v>
      </c>
      <c r="H5" s="55">
        <f>G5*3.45</f>
        <v>1083.2723999999998</v>
      </c>
      <c r="I5" s="55"/>
      <c r="J5" s="55">
        <v>2770.4783399999997</v>
      </c>
    </row>
    <row r="6" spans="1:10" s="22" customFormat="1" ht="15.75" hidden="1">
      <c r="A6" s="167"/>
      <c r="D6" s="287"/>
      <c r="E6" s="168"/>
      <c r="F6" s="168"/>
      <c r="G6" s="168"/>
      <c r="H6" s="168"/>
      <c r="I6" s="168"/>
      <c r="J6" s="168"/>
    </row>
    <row r="7" spans="1:4" s="22" customFormat="1" ht="15.75" hidden="1">
      <c r="A7" s="166" t="s">
        <v>1923</v>
      </c>
      <c r="D7" s="287"/>
    </row>
    <row r="8" spans="1:10" s="22" customFormat="1" ht="15.75" hidden="1">
      <c r="A8" s="167"/>
      <c r="D8" s="287"/>
      <c r="E8" s="168"/>
      <c r="F8" s="168"/>
      <c r="G8" s="168"/>
      <c r="H8" s="168"/>
      <c r="I8" s="168"/>
      <c r="J8" s="168"/>
    </row>
    <row r="9" spans="1:10" ht="31.5" hidden="1">
      <c r="A9" s="136" t="s">
        <v>1924</v>
      </c>
      <c r="B9" s="61" t="s">
        <v>315</v>
      </c>
      <c r="C9" s="60" t="s">
        <v>814</v>
      </c>
      <c r="D9" s="93" t="s">
        <v>388</v>
      </c>
      <c r="E9" s="55">
        <v>112.14</v>
      </c>
      <c r="F9" s="55">
        <v>0.5</v>
      </c>
      <c r="G9" s="55">
        <f t="shared" si="0"/>
        <v>56.07</v>
      </c>
      <c r="H9" s="55">
        <f>G9*3.45</f>
        <v>193.44150000000002</v>
      </c>
      <c r="I9" s="55"/>
      <c r="J9" s="55">
        <v>243.82745624999998</v>
      </c>
    </row>
    <row r="10" spans="1:10" ht="31.5" hidden="1">
      <c r="A10" s="136" t="s">
        <v>1925</v>
      </c>
      <c r="B10" s="61" t="s">
        <v>316</v>
      </c>
      <c r="C10" s="60" t="s">
        <v>814</v>
      </c>
      <c r="D10" s="93" t="s">
        <v>388</v>
      </c>
      <c r="E10" s="55">
        <v>112.14</v>
      </c>
      <c r="F10" s="55">
        <v>0.75</v>
      </c>
      <c r="G10" s="55">
        <f t="shared" si="0"/>
        <v>84.105</v>
      </c>
      <c r="H10" s="55">
        <f>G10*3.45</f>
        <v>290.16225000000003</v>
      </c>
      <c r="I10" s="55"/>
      <c r="J10" s="55">
        <v>365.741184375</v>
      </c>
    </row>
    <row r="11" spans="1:10" ht="31.5" hidden="1">
      <c r="A11" s="136" t="s">
        <v>1926</v>
      </c>
      <c r="B11" s="61" t="s">
        <v>1453</v>
      </c>
      <c r="C11" s="60" t="s">
        <v>1454</v>
      </c>
      <c r="D11" s="93" t="s">
        <v>388</v>
      </c>
      <c r="E11" s="55">
        <v>112.14</v>
      </c>
      <c r="F11" s="55">
        <v>3</v>
      </c>
      <c r="G11" s="55">
        <f>E11*F11</f>
        <v>336.42</v>
      </c>
      <c r="H11" s="55">
        <f>G11*3.45</f>
        <v>1160.6490000000001</v>
      </c>
      <c r="I11" s="55"/>
      <c r="J11" s="55">
        <v>1462.9647375</v>
      </c>
    </row>
    <row r="12" spans="1:10" ht="15.75" hidden="1">
      <c r="A12" s="136" t="s">
        <v>1927</v>
      </c>
      <c r="B12" s="61" t="s">
        <v>1455</v>
      </c>
      <c r="C12" s="60" t="s">
        <v>1454</v>
      </c>
      <c r="D12" s="93" t="s">
        <v>388</v>
      </c>
      <c r="E12" s="55">
        <v>112.14</v>
      </c>
      <c r="F12" s="55">
        <v>5</v>
      </c>
      <c r="G12" s="55">
        <f>E12*F12</f>
        <v>560.7</v>
      </c>
      <c r="H12" s="55">
        <f>G12*3.45</f>
        <v>1934.4150000000002</v>
      </c>
      <c r="I12" s="55"/>
      <c r="J12" s="55">
        <v>2438.2745625000002</v>
      </c>
    </row>
    <row r="13" spans="1:10" s="22" customFormat="1" ht="15.75" hidden="1">
      <c r="A13" s="167"/>
      <c r="D13" s="287"/>
      <c r="E13" s="168"/>
      <c r="F13" s="168"/>
      <c r="G13" s="168"/>
      <c r="H13" s="168"/>
      <c r="I13" s="168"/>
      <c r="J13" s="168"/>
    </row>
    <row r="14" spans="1:10" ht="15.75">
      <c r="A14" s="604" t="s">
        <v>1456</v>
      </c>
      <c r="B14" s="604"/>
      <c r="C14" s="604"/>
      <c r="D14" s="604"/>
      <c r="E14" s="604"/>
      <c r="F14" s="604"/>
      <c r="G14" s="604"/>
      <c r="H14" s="604"/>
      <c r="I14" s="604"/>
      <c r="J14" s="604"/>
    </row>
    <row r="15" spans="1:10" s="22" customFormat="1" ht="15.75">
      <c r="A15" s="167"/>
      <c r="D15" s="287"/>
      <c r="E15" s="168"/>
      <c r="F15" s="168"/>
      <c r="G15" s="168"/>
      <c r="H15" s="168"/>
      <c r="I15" s="168"/>
      <c r="J15" s="168"/>
    </row>
    <row r="16" spans="1:12" ht="78.75">
      <c r="A16" s="459" t="s">
        <v>83</v>
      </c>
      <c r="B16" s="371" t="s">
        <v>82</v>
      </c>
      <c r="C16" s="371" t="s">
        <v>77</v>
      </c>
      <c r="D16" s="371" t="s">
        <v>81</v>
      </c>
      <c r="E16" s="372" t="s">
        <v>85</v>
      </c>
      <c r="F16" s="372" t="s">
        <v>78</v>
      </c>
      <c r="G16" s="372" t="s">
        <v>79</v>
      </c>
      <c r="H16" s="372" t="s">
        <v>80</v>
      </c>
      <c r="I16" s="371" t="s">
        <v>843</v>
      </c>
      <c r="J16" s="371" t="s">
        <v>2349</v>
      </c>
      <c r="K16" s="556" t="s">
        <v>2386</v>
      </c>
      <c r="L16" s="467" t="s">
        <v>2385</v>
      </c>
    </row>
    <row r="17" spans="1:12" ht="47.25">
      <c r="A17" s="136" t="s">
        <v>1457</v>
      </c>
      <c r="B17" s="61" t="s">
        <v>317</v>
      </c>
      <c r="C17" s="60" t="s">
        <v>318</v>
      </c>
      <c r="D17" s="93" t="s">
        <v>2372</v>
      </c>
      <c r="E17" s="424">
        <f>'Тарифные ставки'!$B$9</f>
        <v>184.069</v>
      </c>
      <c r="F17" s="424">
        <v>5</v>
      </c>
      <c r="G17" s="424">
        <f t="shared" si="0"/>
        <v>920.3449999999999</v>
      </c>
      <c r="H17" s="424">
        <f>G17*'Тарифные ставки'!B13</f>
        <v>2374.4901</v>
      </c>
      <c r="I17" s="424">
        <f>H17*'Тарифные ставки'!B14*'Тарифные ставки'!B15</f>
        <v>2877.8820012</v>
      </c>
      <c r="J17" s="424">
        <f>I17-I17/'Тарифные ставки'!$B$15</f>
        <v>479.6470002000001</v>
      </c>
      <c r="K17" s="498">
        <v>2553.4278000000004</v>
      </c>
      <c r="L17" s="498">
        <f>I17/K17*100-100</f>
        <v>12.706613486388747</v>
      </c>
    </row>
    <row r="18" spans="1:12" ht="15.75">
      <c r="A18" s="136" t="s">
        <v>446</v>
      </c>
      <c r="B18" s="61" t="s">
        <v>319</v>
      </c>
      <c r="C18" s="60" t="s">
        <v>318</v>
      </c>
      <c r="D18" s="93" t="s">
        <v>2372</v>
      </c>
      <c r="E18" s="424">
        <f>'Тарифные ставки'!$B$9</f>
        <v>184.069</v>
      </c>
      <c r="F18" s="424">
        <v>1.1</v>
      </c>
      <c r="G18" s="424">
        <f t="shared" si="0"/>
        <v>202.4759</v>
      </c>
      <c r="H18" s="424">
        <f>G18*'Тарифные ставки'!B13</f>
        <v>522.387822</v>
      </c>
      <c r="I18" s="424">
        <f>H18*'Тарифные ставки'!B14*'Тарифные ставки'!B15</f>
        <v>633.134040264</v>
      </c>
      <c r="J18" s="424">
        <f>I18-I18/'Тарифные ставки'!$B$15</f>
        <v>105.52234004399998</v>
      </c>
      <c r="K18" s="498">
        <v>561.7541160000001</v>
      </c>
      <c r="L18" s="498">
        <f>I18/K18*100-100</f>
        <v>12.706613486388747</v>
      </c>
    </row>
    <row r="19" spans="1:12" ht="48.75" customHeight="1">
      <c r="A19" s="136" t="s">
        <v>1321</v>
      </c>
      <c r="B19" s="61" t="s">
        <v>1560</v>
      </c>
      <c r="C19" s="60" t="s">
        <v>318</v>
      </c>
      <c r="D19" s="93" t="s">
        <v>2372</v>
      </c>
      <c r="E19" s="424">
        <f>'Тарифные ставки'!$B$9</f>
        <v>184.069</v>
      </c>
      <c r="F19" s="424">
        <v>3.3</v>
      </c>
      <c r="G19" s="424">
        <f t="shared" si="0"/>
        <v>607.4277</v>
      </c>
      <c r="H19" s="424">
        <f>G19*'Тарифные ставки'!B13</f>
        <v>1567.163466</v>
      </c>
      <c r="I19" s="424">
        <f>H19*'Тарифные ставки'!B14*'Тарифные ставки'!B15</f>
        <v>1899.402120792</v>
      </c>
      <c r="J19" s="424">
        <f>I19-I19/'Тарифные ставки'!$B$15</f>
        <v>316.5670201319999</v>
      </c>
      <c r="K19" s="498">
        <v>1685.2623480000002</v>
      </c>
      <c r="L19" s="498">
        <f aca="true" t="shared" si="1" ref="L19:L28">I19/K19*100-100</f>
        <v>12.706613486388747</v>
      </c>
    </row>
    <row r="20" spans="1:12" ht="15.75">
      <c r="A20" s="136" t="s">
        <v>1322</v>
      </c>
      <c r="B20" s="61" t="s">
        <v>319</v>
      </c>
      <c r="C20" s="60" t="s">
        <v>318</v>
      </c>
      <c r="D20" s="93" t="s">
        <v>2372</v>
      </c>
      <c r="E20" s="424">
        <f>'Тарифные ставки'!$B$9</f>
        <v>184.069</v>
      </c>
      <c r="F20" s="424">
        <v>0.75</v>
      </c>
      <c r="G20" s="424">
        <f t="shared" si="0"/>
        <v>138.05175</v>
      </c>
      <c r="H20" s="424">
        <f>G20*'Тарифные ставки'!B13</f>
        <v>356.173515</v>
      </c>
      <c r="I20" s="424">
        <f>H20*'Тарифные ставки'!B14*'Тарифные ставки'!B15</f>
        <v>431.68230018</v>
      </c>
      <c r="J20" s="424">
        <f>I20-I20/'Тарифные ставки'!$B$15</f>
        <v>71.94705003000001</v>
      </c>
      <c r="K20" s="498">
        <v>383.01417000000004</v>
      </c>
      <c r="L20" s="498">
        <f t="shared" si="1"/>
        <v>12.706613486388775</v>
      </c>
    </row>
    <row r="21" spans="1:12" ht="35.25" customHeight="1">
      <c r="A21" s="136" t="s">
        <v>1323</v>
      </c>
      <c r="B21" s="264" t="s">
        <v>1347</v>
      </c>
      <c r="C21" s="60" t="s">
        <v>318</v>
      </c>
      <c r="D21" s="93" t="s">
        <v>2372</v>
      </c>
      <c r="E21" s="424">
        <f>'Тарифные ставки'!$B$9</f>
        <v>184.069</v>
      </c>
      <c r="F21" s="424">
        <v>0.26</v>
      </c>
      <c r="G21" s="424">
        <f t="shared" si="0"/>
        <v>47.85794</v>
      </c>
      <c r="H21" s="424">
        <f>G21*'Тарифные ставки'!B13</f>
        <v>123.4734852</v>
      </c>
      <c r="I21" s="424">
        <f>H21*'Тарифные ставки'!B14*'Тарифные ставки'!B15</f>
        <v>149.64986406239998</v>
      </c>
      <c r="J21" s="424">
        <f>I21-I21/'Тарифные ставки'!$B$15</f>
        <v>24.941644010399997</v>
      </c>
      <c r="K21" s="498">
        <v>132.77824560000002</v>
      </c>
      <c r="L21" s="498">
        <f t="shared" si="1"/>
        <v>12.706613486388733</v>
      </c>
    </row>
    <row r="22" spans="1:12" ht="31.5">
      <c r="A22" s="136" t="s">
        <v>1324</v>
      </c>
      <c r="B22" s="61" t="s">
        <v>849</v>
      </c>
      <c r="C22" s="60" t="s">
        <v>318</v>
      </c>
      <c r="D22" s="93" t="s">
        <v>2372</v>
      </c>
      <c r="E22" s="424">
        <f>'Тарифные ставки'!$B$9</f>
        <v>184.069</v>
      </c>
      <c r="F22" s="424">
        <v>0.43</v>
      </c>
      <c r="G22" s="424">
        <f t="shared" si="0"/>
        <v>79.14967</v>
      </c>
      <c r="H22" s="424">
        <f>G22*'Тарифные ставки'!B13</f>
        <v>204.2061486</v>
      </c>
      <c r="I22" s="424">
        <f>H22*'Тарифные ставки'!B14*'Тарифные ставки'!B15</f>
        <v>247.4978521032</v>
      </c>
      <c r="J22" s="424">
        <f>I22-I22/'Тарифные ставки'!$B$15</f>
        <v>41.24964201719999</v>
      </c>
      <c r="K22" s="498">
        <v>219.59479080000003</v>
      </c>
      <c r="L22" s="498">
        <f t="shared" si="1"/>
        <v>12.706613486388747</v>
      </c>
    </row>
    <row r="23" spans="1:12" ht="47.25">
      <c r="A23" s="136" t="s">
        <v>1325</v>
      </c>
      <c r="B23" s="61" t="s">
        <v>2501</v>
      </c>
      <c r="C23" s="60" t="s">
        <v>318</v>
      </c>
      <c r="D23" s="93" t="s">
        <v>2372</v>
      </c>
      <c r="E23" s="424">
        <f>'Тарифные ставки'!$B$9</f>
        <v>184.069</v>
      </c>
      <c r="F23" s="424">
        <v>0.18</v>
      </c>
      <c r="G23" s="424">
        <f aca="true" t="shared" si="2" ref="G23:G28">E23*F23</f>
        <v>33.132419999999996</v>
      </c>
      <c r="H23" s="424">
        <f>G23*'Тарифные ставки'!B13</f>
        <v>85.4816436</v>
      </c>
      <c r="I23" s="424">
        <f>H23*'Тарифные ставки'!B14*'Тарифные ставки'!B15</f>
        <v>103.6037520432</v>
      </c>
      <c r="J23" s="424">
        <f>I23-I23/'Тарифные ставки'!$B$15</f>
        <v>17.2672920072</v>
      </c>
      <c r="K23" s="498">
        <v>91.9234008</v>
      </c>
      <c r="L23" s="498">
        <f t="shared" si="1"/>
        <v>12.706613486388775</v>
      </c>
    </row>
    <row r="24" spans="1:12" ht="31.5">
      <c r="A24" s="136" t="s">
        <v>1326</v>
      </c>
      <c r="B24" s="61" t="s">
        <v>1331</v>
      </c>
      <c r="C24" s="60" t="s">
        <v>318</v>
      </c>
      <c r="D24" s="93" t="s">
        <v>2372</v>
      </c>
      <c r="E24" s="424">
        <f>'Тарифные ставки'!$B$9</f>
        <v>184.069</v>
      </c>
      <c r="F24" s="424">
        <v>0.3</v>
      </c>
      <c r="G24" s="424">
        <f t="shared" si="2"/>
        <v>55.220699999999994</v>
      </c>
      <c r="H24" s="424">
        <f>G24*'Тарифные ставки'!B13</f>
        <v>142.469406</v>
      </c>
      <c r="I24" s="424">
        <f>H24*'Тарифные ставки'!B14*'Тарифные ставки'!B15</f>
        <v>172.67292007199998</v>
      </c>
      <c r="J24" s="424">
        <f>I24-I24/'Тарифные ставки'!$B$15</f>
        <v>28.778820011999983</v>
      </c>
      <c r="K24" s="498">
        <v>153.205668</v>
      </c>
      <c r="L24" s="498">
        <f t="shared" si="1"/>
        <v>12.706613486388747</v>
      </c>
    </row>
    <row r="25" spans="1:12" ht="63">
      <c r="A25" s="136" t="s">
        <v>1327</v>
      </c>
      <c r="B25" s="61" t="s">
        <v>2502</v>
      </c>
      <c r="C25" s="60" t="s">
        <v>318</v>
      </c>
      <c r="D25" s="93" t="s">
        <v>2372</v>
      </c>
      <c r="E25" s="424">
        <f>'Тарифные ставки'!$B$9</f>
        <v>184.069</v>
      </c>
      <c r="F25" s="424">
        <v>0.18</v>
      </c>
      <c r="G25" s="424">
        <f t="shared" si="2"/>
        <v>33.132419999999996</v>
      </c>
      <c r="H25" s="424">
        <f>G25*'Тарифные ставки'!B13</f>
        <v>85.4816436</v>
      </c>
      <c r="I25" s="424">
        <f>H25*'Тарифные ставки'!B14*'Тарифные ставки'!B15</f>
        <v>103.6037520432</v>
      </c>
      <c r="J25" s="424">
        <f>I25-I25/'Тарифные ставки'!$B$15</f>
        <v>17.2672920072</v>
      </c>
      <c r="K25" s="498">
        <v>91.9234008</v>
      </c>
      <c r="L25" s="498">
        <f t="shared" si="1"/>
        <v>12.706613486388775</v>
      </c>
    </row>
    <row r="26" spans="1:12" ht="31.5">
      <c r="A26" s="136" t="s">
        <v>1328</v>
      </c>
      <c r="B26" s="61" t="s">
        <v>1331</v>
      </c>
      <c r="C26" s="60" t="s">
        <v>318</v>
      </c>
      <c r="D26" s="93" t="s">
        <v>2372</v>
      </c>
      <c r="E26" s="424">
        <f>'Тарифные ставки'!$B$9</f>
        <v>184.069</v>
      </c>
      <c r="F26" s="424">
        <v>0.3</v>
      </c>
      <c r="G26" s="424">
        <f t="shared" si="2"/>
        <v>55.220699999999994</v>
      </c>
      <c r="H26" s="424">
        <f>G26*'Тарифные ставки'!B13</f>
        <v>142.469406</v>
      </c>
      <c r="I26" s="424">
        <f>H26*'Тарифные ставки'!B14*'Тарифные ставки'!B15</f>
        <v>172.67292007199998</v>
      </c>
      <c r="J26" s="424">
        <f>I26-I26/'Тарифные ставки'!$B$15</f>
        <v>28.778820011999983</v>
      </c>
      <c r="K26" s="498">
        <v>153.205668</v>
      </c>
      <c r="L26" s="498">
        <f t="shared" si="1"/>
        <v>12.706613486388747</v>
      </c>
    </row>
    <row r="27" spans="1:12" ht="31.5">
      <c r="A27" s="136" t="s">
        <v>1329</v>
      </c>
      <c r="B27" s="61" t="s">
        <v>1332</v>
      </c>
      <c r="C27" s="60" t="s">
        <v>318</v>
      </c>
      <c r="D27" s="93" t="s">
        <v>2372</v>
      </c>
      <c r="E27" s="424">
        <f>'Тарифные ставки'!$B$9</f>
        <v>184.069</v>
      </c>
      <c r="F27" s="424">
        <v>0.48</v>
      </c>
      <c r="G27" s="424">
        <f t="shared" si="2"/>
        <v>88.35311999999999</v>
      </c>
      <c r="H27" s="424">
        <f>G27*'Тарифные ставки'!B13</f>
        <v>227.95104959999998</v>
      </c>
      <c r="I27" s="424">
        <f>H27*'Тарифные ставки'!B14*'Тарифные ставки'!B15</f>
        <v>276.2766721152</v>
      </c>
      <c r="J27" s="424">
        <f>I27-I27/'Тарифные ставки'!$B$15</f>
        <v>46.046112019199995</v>
      </c>
      <c r="K27" s="498">
        <v>245.12906880000003</v>
      </c>
      <c r="L27" s="498">
        <f t="shared" si="1"/>
        <v>12.706613486388747</v>
      </c>
    </row>
    <row r="28" spans="1:12" ht="31.5">
      <c r="A28" s="136" t="s">
        <v>1330</v>
      </c>
      <c r="B28" s="61" t="s">
        <v>1333</v>
      </c>
      <c r="C28" s="60" t="s">
        <v>318</v>
      </c>
      <c r="D28" s="93" t="s">
        <v>2372</v>
      </c>
      <c r="E28" s="424">
        <f>'Тарифные ставки'!$B$9</f>
        <v>184.069</v>
      </c>
      <c r="F28" s="424">
        <v>0.16</v>
      </c>
      <c r="G28" s="424">
        <f t="shared" si="2"/>
        <v>29.45104</v>
      </c>
      <c r="H28" s="424">
        <f>G28*'Тарифные ставки'!B13</f>
        <v>75.9836832</v>
      </c>
      <c r="I28" s="424">
        <f>H28*'Тарифные ставки'!B14*'Тарифные ставки'!B15</f>
        <v>92.0922240384</v>
      </c>
      <c r="J28" s="424">
        <f>I28-I28/'Тарифные ставки'!$B$15</f>
        <v>15.348704006399998</v>
      </c>
      <c r="K28" s="498">
        <v>81.7096896</v>
      </c>
      <c r="L28" s="498">
        <f t="shared" si="1"/>
        <v>12.706613486388775</v>
      </c>
    </row>
    <row r="29" spans="1:10" ht="15.75">
      <c r="A29" s="132"/>
      <c r="E29" s="58"/>
      <c r="F29" s="58"/>
      <c r="G29" s="58"/>
      <c r="H29" s="58"/>
      <c r="I29" s="58"/>
      <c r="J29" s="58"/>
    </row>
    <row r="30" spans="1:10" ht="15.75">
      <c r="A30" s="132"/>
      <c r="E30" s="58"/>
      <c r="F30" s="58"/>
      <c r="G30" s="58"/>
      <c r="H30" s="58"/>
      <c r="I30" s="58"/>
      <c r="J30" s="58"/>
    </row>
    <row r="31" spans="1:10" ht="15.75">
      <c r="A31" s="132"/>
      <c r="E31" s="58"/>
      <c r="F31" s="58"/>
      <c r="G31" s="58"/>
      <c r="H31" s="58"/>
      <c r="I31" s="58"/>
      <c r="J31" s="58"/>
    </row>
    <row r="32" spans="1:10" ht="15.75">
      <c r="A32" s="132"/>
      <c r="E32" s="58"/>
      <c r="F32" s="58"/>
      <c r="G32" s="58"/>
      <c r="H32" s="58"/>
      <c r="I32" s="58"/>
      <c r="J32" s="58"/>
    </row>
    <row r="33" spans="1:10" ht="15.75">
      <c r="A33" s="132"/>
      <c r="E33" s="58"/>
      <c r="F33" s="58"/>
      <c r="G33" s="58"/>
      <c r="H33" s="58"/>
      <c r="I33" s="58"/>
      <c r="J33" s="58"/>
    </row>
    <row r="34" spans="1:10" ht="15.75">
      <c r="A34" s="132"/>
      <c r="E34" s="58"/>
      <c r="F34" s="58"/>
      <c r="G34" s="58"/>
      <c r="H34" s="58"/>
      <c r="I34" s="58"/>
      <c r="J34" s="58"/>
    </row>
    <row r="35" spans="1:10" ht="15.75">
      <c r="A35" s="132"/>
      <c r="E35" s="58"/>
      <c r="F35" s="58"/>
      <c r="G35" s="58"/>
      <c r="H35" s="58"/>
      <c r="I35" s="58"/>
      <c r="J35" s="58"/>
    </row>
    <row r="36" spans="1:10" ht="15.75">
      <c r="A36" s="132"/>
      <c r="E36" s="58"/>
      <c r="F36" s="58"/>
      <c r="G36" s="58"/>
      <c r="H36" s="58"/>
      <c r="I36" s="58"/>
      <c r="J36" s="58"/>
    </row>
    <row r="37" spans="1:10" ht="15.75">
      <c r="A37" s="132"/>
      <c r="E37" s="58"/>
      <c r="F37" s="58"/>
      <c r="G37" s="58"/>
      <c r="H37" s="58"/>
      <c r="I37" s="58"/>
      <c r="J37" s="58"/>
    </row>
    <row r="38" ht="15.75">
      <c r="A38" s="132"/>
    </row>
    <row r="39" ht="15.75">
      <c r="A39" s="132"/>
    </row>
    <row r="40" ht="15.75">
      <c r="A40" s="132"/>
    </row>
    <row r="41" ht="15.75">
      <c r="A41" s="132"/>
    </row>
    <row r="42" ht="15.75">
      <c r="A42" s="132"/>
    </row>
    <row r="43" ht="15.75">
      <c r="A43" s="132"/>
    </row>
    <row r="44" ht="15.75">
      <c r="A44" s="132"/>
    </row>
    <row r="45" ht="15.75">
      <c r="A45" s="132"/>
    </row>
    <row r="46" ht="15.75">
      <c r="A46" s="132"/>
    </row>
    <row r="47" ht="15.75">
      <c r="A47" s="132"/>
    </row>
    <row r="48" ht="15.75">
      <c r="A48" s="132"/>
    </row>
    <row r="49" ht="15.75">
      <c r="A49" s="132"/>
    </row>
    <row r="50" ht="15.75">
      <c r="A50" s="132"/>
    </row>
    <row r="51" ht="15.75">
      <c r="A51" s="132"/>
    </row>
    <row r="52" ht="15.75">
      <c r="A52" s="132"/>
    </row>
    <row r="53" ht="15.75">
      <c r="A53" s="132"/>
    </row>
    <row r="54" ht="15.75">
      <c r="A54" s="132"/>
    </row>
    <row r="55" ht="15.75">
      <c r="A55" s="132"/>
    </row>
    <row r="56" ht="15.75">
      <c r="A56" s="132"/>
    </row>
    <row r="57" ht="15.75">
      <c r="A57" s="132"/>
    </row>
    <row r="58" ht="15.75">
      <c r="A58" s="132"/>
    </row>
    <row r="59" ht="15.75">
      <c r="A59" s="132"/>
    </row>
    <row r="60" ht="15.75">
      <c r="A60" s="132"/>
    </row>
    <row r="61" ht="15.75">
      <c r="A61" s="132"/>
    </row>
    <row r="62" ht="15.75">
      <c r="A62" s="132"/>
    </row>
    <row r="63" ht="15.75">
      <c r="A63" s="132"/>
    </row>
    <row r="64" ht="15.75">
      <c r="A64" s="132"/>
    </row>
    <row r="65" ht="15.75">
      <c r="A65" s="132"/>
    </row>
    <row r="66" ht="15.75">
      <c r="A66" s="132"/>
    </row>
    <row r="67" ht="15.75">
      <c r="A67" s="132"/>
    </row>
    <row r="68" ht="15.75">
      <c r="A68" s="132"/>
    </row>
    <row r="69" ht="15.75">
      <c r="A69" s="132"/>
    </row>
    <row r="70" ht="15.75">
      <c r="A70" s="132"/>
    </row>
    <row r="71" ht="15.75">
      <c r="A71" s="132"/>
    </row>
    <row r="72" ht="15.75">
      <c r="A72" s="132"/>
    </row>
    <row r="73" ht="15.75">
      <c r="A73" s="132"/>
    </row>
    <row r="74" ht="15.75">
      <c r="A74" s="132"/>
    </row>
    <row r="75" ht="15.75">
      <c r="A75" s="132"/>
    </row>
    <row r="76" ht="15.75">
      <c r="A76" s="132"/>
    </row>
    <row r="77" ht="15.75">
      <c r="A77" s="132"/>
    </row>
    <row r="78" ht="15.75">
      <c r="A78" s="132"/>
    </row>
    <row r="79" ht="15.75">
      <c r="A79" s="132"/>
    </row>
    <row r="80" ht="15.75">
      <c r="A80" s="132"/>
    </row>
    <row r="81" ht="15.75">
      <c r="A81" s="132"/>
    </row>
    <row r="82" ht="15.75">
      <c r="A82" s="132"/>
    </row>
    <row r="83" ht="15.75">
      <c r="A83" s="132"/>
    </row>
    <row r="84" ht="15.75">
      <c r="A84" s="132"/>
    </row>
    <row r="85" ht="15.75">
      <c r="A85" s="132"/>
    </row>
    <row r="86" ht="15.75">
      <c r="A86" s="132"/>
    </row>
    <row r="87" ht="15.75">
      <c r="A87" s="132"/>
    </row>
    <row r="88" ht="15.75">
      <c r="A88" s="132"/>
    </row>
    <row r="89" ht="15.75">
      <c r="A89" s="132"/>
    </row>
    <row r="90" ht="15.75">
      <c r="A90" s="132"/>
    </row>
    <row r="91" ht="15.75">
      <c r="A91" s="132"/>
    </row>
    <row r="92" ht="15.75">
      <c r="A92" s="132"/>
    </row>
    <row r="93" ht="15.75">
      <c r="A93" s="132"/>
    </row>
    <row r="94" ht="15.75">
      <c r="A94" s="132"/>
    </row>
    <row r="95" ht="15.75">
      <c r="A95" s="132"/>
    </row>
    <row r="96" ht="15.75">
      <c r="A96" s="132"/>
    </row>
    <row r="97" ht="15.75">
      <c r="A97" s="132"/>
    </row>
    <row r="98" ht="15.75">
      <c r="A98" s="132"/>
    </row>
    <row r="99" ht="15.75">
      <c r="A99" s="132"/>
    </row>
    <row r="100" ht="15.75">
      <c r="A100" s="132"/>
    </row>
    <row r="101" ht="15.75">
      <c r="A101" s="132"/>
    </row>
    <row r="102" ht="15.75">
      <c r="A102" s="132"/>
    </row>
    <row r="103" ht="15.75">
      <c r="A103" s="132"/>
    </row>
    <row r="104" ht="15.75">
      <c r="A104" s="132"/>
    </row>
    <row r="105" ht="15.75">
      <c r="A105" s="132"/>
    </row>
    <row r="106" ht="15.75">
      <c r="A106" s="132"/>
    </row>
    <row r="107" ht="15.75">
      <c r="A107" s="132"/>
    </row>
    <row r="108" ht="15.75">
      <c r="A108" s="132"/>
    </row>
    <row r="109" ht="15.75">
      <c r="A109" s="132"/>
    </row>
    <row r="110" ht="15.75">
      <c r="A110" s="132"/>
    </row>
    <row r="111" ht="15.75">
      <c r="A111" s="132"/>
    </row>
    <row r="112" ht="15.75">
      <c r="A112" s="132"/>
    </row>
    <row r="113" ht="15.75">
      <c r="A113" s="132"/>
    </row>
    <row r="114" ht="15.75">
      <c r="A114" s="132"/>
    </row>
    <row r="115" ht="15.75">
      <c r="A115" s="132"/>
    </row>
    <row r="116" ht="15.75">
      <c r="A116" s="132"/>
    </row>
    <row r="117" ht="15.75">
      <c r="A117" s="132"/>
    </row>
    <row r="118" ht="15.75">
      <c r="A118" s="132"/>
    </row>
    <row r="119" ht="15.75">
      <c r="A119" s="132"/>
    </row>
    <row r="120" ht="15.75">
      <c r="A120" s="132"/>
    </row>
    <row r="121" ht="15.75">
      <c r="A121" s="132"/>
    </row>
    <row r="122" ht="15.75">
      <c r="A122" s="132"/>
    </row>
    <row r="123" ht="15.75">
      <c r="A123" s="132"/>
    </row>
    <row r="124" ht="15.75">
      <c r="A124" s="132"/>
    </row>
    <row r="125" ht="15.75">
      <c r="A125" s="132"/>
    </row>
    <row r="126" ht="15.75">
      <c r="A126" s="132"/>
    </row>
    <row r="127" ht="15.75">
      <c r="A127" s="132"/>
    </row>
    <row r="128" ht="15.75">
      <c r="A128" s="132"/>
    </row>
    <row r="129" ht="15.75">
      <c r="A129" s="132"/>
    </row>
    <row r="130" ht="15.75">
      <c r="A130" s="132"/>
    </row>
    <row r="131" ht="15.75">
      <c r="A131" s="132"/>
    </row>
    <row r="132" ht="15.75">
      <c r="A132" s="132"/>
    </row>
    <row r="133" ht="15.75">
      <c r="A133" s="132"/>
    </row>
    <row r="134" ht="15.75">
      <c r="A134" s="132"/>
    </row>
    <row r="135" ht="15.75">
      <c r="A135" s="132"/>
    </row>
    <row r="136" ht="15.75">
      <c r="A136" s="132"/>
    </row>
    <row r="137" ht="15.75">
      <c r="A137" s="132"/>
    </row>
    <row r="138" ht="15.75">
      <c r="A138" s="132"/>
    </row>
    <row r="139" ht="15.75">
      <c r="A139" s="132"/>
    </row>
    <row r="140" ht="15.75">
      <c r="A140" s="132"/>
    </row>
    <row r="141" ht="15.75">
      <c r="A141" s="132"/>
    </row>
    <row r="142" ht="15.75">
      <c r="A142" s="132"/>
    </row>
    <row r="143" ht="15.75">
      <c r="A143" s="132"/>
    </row>
    <row r="144" ht="15.75">
      <c r="A144" s="132"/>
    </row>
    <row r="145" ht="15.75">
      <c r="A145" s="132"/>
    </row>
    <row r="146" ht="15.75">
      <c r="A146" s="132"/>
    </row>
    <row r="147" ht="15.75">
      <c r="A147" s="132"/>
    </row>
    <row r="148" ht="15.75">
      <c r="A148" s="132"/>
    </row>
    <row r="149" ht="15.75">
      <c r="A149" s="132"/>
    </row>
    <row r="150" ht="15.75">
      <c r="A150" s="132"/>
    </row>
    <row r="151" ht="15.75">
      <c r="A151" s="132"/>
    </row>
    <row r="152" ht="15.75">
      <c r="A152" s="132"/>
    </row>
    <row r="153" ht="15.75">
      <c r="A153" s="132"/>
    </row>
    <row r="154" ht="15.75">
      <c r="A154" s="132"/>
    </row>
    <row r="155" ht="15.75">
      <c r="A155" s="132"/>
    </row>
    <row r="156" ht="15.75">
      <c r="A156" s="132"/>
    </row>
    <row r="157" ht="15.75">
      <c r="A157" s="132"/>
    </row>
    <row r="158" ht="15.75">
      <c r="A158" s="132"/>
    </row>
    <row r="159" ht="15.75">
      <c r="A159" s="132"/>
    </row>
    <row r="160" ht="15.75">
      <c r="A160" s="132"/>
    </row>
  </sheetData>
  <sheetProtection/>
  <autoFilter ref="B1:B160"/>
  <mergeCells count="1">
    <mergeCell ref="A14:J14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7.00390625" style="170" bestFit="1" customWidth="1"/>
    <col min="2" max="2" width="12.25390625" style="170" bestFit="1" customWidth="1"/>
    <col min="3" max="3" width="14.125" style="170" hidden="1" customWidth="1"/>
    <col min="4" max="4" width="12.375" style="170" hidden="1" customWidth="1"/>
    <col min="5" max="6" width="9.125" style="170" customWidth="1"/>
    <col min="7" max="16384" width="9.125" style="170" customWidth="1"/>
  </cols>
  <sheetData>
    <row r="1" ht="18.75">
      <c r="A1" s="170" t="s">
        <v>2374</v>
      </c>
    </row>
    <row r="2" spans="1:4" ht="18.75">
      <c r="A2" s="170" t="s">
        <v>2375</v>
      </c>
      <c r="B2" s="385">
        <f>214.02*1.15</f>
        <v>246.123</v>
      </c>
      <c r="C2" s="170">
        <v>27000</v>
      </c>
      <c r="D2" s="366">
        <v>0.3</v>
      </c>
    </row>
    <row r="3" spans="1:4" ht="18.75">
      <c r="A3" s="170" t="s">
        <v>2376</v>
      </c>
      <c r="B3" s="385">
        <f>229.88*1.15</f>
        <v>264.36199999999997</v>
      </c>
      <c r="C3" s="170">
        <v>29000</v>
      </c>
      <c r="D3" s="366">
        <v>0.3</v>
      </c>
    </row>
    <row r="4" spans="1:4" ht="18.75">
      <c r="A4" s="170" t="s">
        <v>2377</v>
      </c>
      <c r="B4" s="385">
        <f>128.84*1.15</f>
        <v>148.166</v>
      </c>
      <c r="C4" s="170">
        <v>85.89</v>
      </c>
      <c r="D4" s="366">
        <v>0.5</v>
      </c>
    </row>
    <row r="5" spans="1:4" ht="18.75">
      <c r="A5" s="170" t="s">
        <v>2378</v>
      </c>
      <c r="B5" s="385">
        <f>119.55*1.15</f>
        <v>137.4825</v>
      </c>
      <c r="C5" s="170">
        <v>79.7</v>
      </c>
      <c r="D5" s="366">
        <v>0.5</v>
      </c>
    </row>
    <row r="6" spans="1:4" ht="18.75">
      <c r="A6" s="170" t="s">
        <v>2379</v>
      </c>
      <c r="B6" s="385">
        <f>128.84*1.15</f>
        <v>148.166</v>
      </c>
      <c r="C6" s="170">
        <v>85.89</v>
      </c>
      <c r="D6" s="366">
        <v>0.5</v>
      </c>
    </row>
    <row r="7" spans="1:4" ht="18.75">
      <c r="A7" s="170" t="s">
        <v>2360</v>
      </c>
      <c r="B7" s="385">
        <f>396.34*1.15</f>
        <v>455.79099999999994</v>
      </c>
      <c r="C7" s="170">
        <v>50000</v>
      </c>
      <c r="D7" s="366">
        <v>0.3</v>
      </c>
    </row>
    <row r="8" spans="1:4" ht="18.75">
      <c r="A8" s="170" t="s">
        <v>2380</v>
      </c>
      <c r="B8" s="385">
        <f>(85.89*1.5)*1.15</f>
        <v>148.16025</v>
      </c>
      <c r="C8" s="170">
        <v>85.89</v>
      </c>
      <c r="D8" s="366">
        <v>0.5</v>
      </c>
    </row>
    <row r="9" spans="1:4" ht="18.75">
      <c r="A9" s="170" t="s">
        <v>2381</v>
      </c>
      <c r="B9" s="385">
        <f>160.06*1.15</f>
        <v>184.069</v>
      </c>
      <c r="C9" s="170">
        <v>17500</v>
      </c>
      <c r="D9" s="366">
        <v>0.5</v>
      </c>
    </row>
    <row r="10" spans="1:4" ht="18.75">
      <c r="A10" s="170" t="s">
        <v>2387</v>
      </c>
      <c r="B10" s="385">
        <f>132.62*1.15</f>
        <v>152.513</v>
      </c>
      <c r="C10" s="170">
        <v>14500</v>
      </c>
      <c r="D10" s="366">
        <v>0.5</v>
      </c>
    </row>
    <row r="11" spans="1:4" ht="18.75">
      <c r="A11" s="170" t="s">
        <v>2382</v>
      </c>
      <c r="B11" s="385">
        <v>373.75</v>
      </c>
      <c r="C11" s="170">
        <v>41000</v>
      </c>
      <c r="D11" s="366">
        <v>0.3</v>
      </c>
    </row>
    <row r="12" ht="18.75">
      <c r="B12" s="385"/>
    </row>
    <row r="13" spans="1:2" ht="18.75">
      <c r="A13" s="170" t="s">
        <v>80</v>
      </c>
      <c r="B13" s="385">
        <v>2.58</v>
      </c>
    </row>
    <row r="14" spans="1:2" ht="37.5">
      <c r="A14" s="367" t="s">
        <v>2384</v>
      </c>
      <c r="B14" s="385">
        <v>1.01</v>
      </c>
    </row>
    <row r="15" spans="1:9" ht="18.75">
      <c r="A15" s="170" t="s">
        <v>2383</v>
      </c>
      <c r="B15" s="385">
        <v>1.2</v>
      </c>
      <c r="I15" s="3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60"/>
  <sheetViews>
    <sheetView view="pageBreakPreview" zoomScale="80" zoomScaleSheetLayoutView="80" zoomScalePageLayoutView="0" workbookViewId="0" topLeftCell="A1">
      <selection activeCell="R31" sqref="R31"/>
    </sheetView>
  </sheetViews>
  <sheetFormatPr defaultColWidth="9.00390625" defaultRowHeight="12.75"/>
  <cols>
    <col min="1" max="1" width="4.875" style="0" customWidth="1"/>
  </cols>
  <sheetData>
    <row r="1" spans="1:4" ht="20.25">
      <c r="A1" s="181" t="s">
        <v>1652</v>
      </c>
      <c r="B1" s="182"/>
      <c r="C1" s="182"/>
      <c r="D1" s="182"/>
    </row>
    <row r="3" spans="1:11" ht="15.75">
      <c r="A3" s="288" t="s">
        <v>1918</v>
      </c>
      <c r="B3" s="289"/>
      <c r="C3" s="289"/>
      <c r="D3" s="289"/>
      <c r="E3" s="289"/>
      <c r="F3" s="289"/>
      <c r="G3" s="289"/>
      <c r="H3" s="1"/>
      <c r="I3" s="1"/>
      <c r="J3" s="1"/>
      <c r="K3" s="1"/>
    </row>
    <row r="4" spans="1:15" ht="15.75" hidden="1">
      <c r="A4" s="3"/>
      <c r="B4" s="290" t="str">
        <f>'[1]1'!A4</f>
        <v>ГАЗОРАСПРЕДЕЛИТЕЛЬНОЙ СИСТЕМЫ</v>
      </c>
      <c r="C4" s="290"/>
      <c r="D4" s="290"/>
      <c r="E4" s="290"/>
      <c r="F4" s="290"/>
      <c r="G4" s="290"/>
      <c r="H4" s="290"/>
      <c r="I4" s="290"/>
      <c r="J4" s="290"/>
      <c r="K4" s="3"/>
      <c r="L4" s="3"/>
      <c r="M4" s="3"/>
      <c r="N4" s="3"/>
      <c r="O4" s="3"/>
    </row>
    <row r="5" spans="1:15" ht="15.75" hidden="1">
      <c r="A5" s="3"/>
      <c r="B5" s="290" t="str">
        <f>'[1]1'!A61</f>
        <v>Глава.2. СОГЛАСОВАНИЕ ПРОЕКТОВ НА СООТВЕТСТВИЕ ВЫДАННЫМ ТЕХНИЧЕСКИМ </v>
      </c>
      <c r="C5" s="290"/>
      <c r="D5" s="290"/>
      <c r="E5" s="290"/>
      <c r="F5" s="290"/>
      <c r="G5" s="290"/>
      <c r="H5" s="290"/>
      <c r="I5" s="290"/>
      <c r="J5" s="290"/>
      <c r="K5" s="3"/>
      <c r="L5" s="3"/>
      <c r="M5" s="3"/>
      <c r="N5" s="3"/>
      <c r="O5" s="3"/>
    </row>
    <row r="6" spans="1:15" ht="15.75" hidden="1">
      <c r="A6" s="3"/>
      <c r="B6" s="290"/>
      <c r="C6" s="290"/>
      <c r="D6" s="290"/>
      <c r="E6" s="290"/>
      <c r="F6" s="290"/>
      <c r="G6" s="290"/>
      <c r="H6" s="290"/>
      <c r="I6" s="290"/>
      <c r="J6" s="290"/>
      <c r="K6" s="3"/>
      <c r="L6" s="3"/>
      <c r="M6" s="3"/>
      <c r="N6" s="3"/>
      <c r="O6" s="3"/>
    </row>
    <row r="7" spans="1:15" ht="15.75" hidden="1">
      <c r="A7" s="3"/>
      <c r="B7" s="290" t="str">
        <f>'[1]1'!A119</f>
        <v>Глава.3. ВЫДАЧА ТЕХНИЧЕСКИХ УСЛОВИЙ И СОГЛАСОВАНИЕ ПРОЕКТОВ УСТРОЙСТВ </v>
      </c>
      <c r="C7" s="290"/>
      <c r="D7" s="290"/>
      <c r="E7" s="290"/>
      <c r="F7" s="290"/>
      <c r="G7" s="290"/>
      <c r="H7" s="290"/>
      <c r="I7" s="290"/>
      <c r="J7" s="290"/>
      <c r="K7" s="3"/>
      <c r="L7" s="3"/>
      <c r="M7" s="3"/>
      <c r="N7" s="3"/>
      <c r="O7" s="3"/>
    </row>
    <row r="8" spans="1:15" ht="15.75" hidden="1">
      <c r="A8" s="3"/>
      <c r="B8" s="290" t="str">
        <f>'[1]1'!A120</f>
        <v>ЭЛЕКТРОХИМИЧЕСКОЙ ЗАЩИТЫ ОТ КОРРОЗИИ ПОДЗЕМНЫХ </v>
      </c>
      <c r="C8" s="290"/>
      <c r="D8" s="290"/>
      <c r="E8" s="290"/>
      <c r="F8" s="290"/>
      <c r="G8" s="290"/>
      <c r="H8" s="290"/>
      <c r="I8" s="290"/>
      <c r="J8" s="290"/>
      <c r="K8" s="3"/>
      <c r="L8" s="3"/>
      <c r="M8" s="3"/>
      <c r="N8" s="3"/>
      <c r="O8" s="3"/>
    </row>
    <row r="9" spans="1:15" ht="15.75" hidden="1">
      <c r="A9" s="3"/>
      <c r="B9" s="290" t="str">
        <f>'[1]1'!A121</f>
        <v>МЕТАЛЛИЧЕСКИХ СООРУЖЕНИЙ</v>
      </c>
      <c r="C9" s="290"/>
      <c r="D9" s="290"/>
      <c r="E9" s="290"/>
      <c r="F9" s="290"/>
      <c r="G9" s="290"/>
      <c r="H9" s="290"/>
      <c r="I9" s="290"/>
      <c r="J9" s="290"/>
      <c r="K9" s="3"/>
      <c r="L9" s="3"/>
      <c r="M9" s="3"/>
      <c r="N9" s="3"/>
      <c r="O9" s="3"/>
    </row>
    <row r="10" spans="1:15" ht="15.75">
      <c r="A10" s="3"/>
      <c r="B10" s="290" t="s">
        <v>2362</v>
      </c>
      <c r="C10" s="290"/>
      <c r="D10" s="290"/>
      <c r="E10" s="290"/>
      <c r="F10" s="290"/>
      <c r="G10" s="290"/>
      <c r="H10" s="290"/>
      <c r="I10" s="290"/>
      <c r="J10" s="290"/>
      <c r="K10" s="3"/>
      <c r="L10" s="3"/>
      <c r="M10" s="3"/>
      <c r="N10" s="3"/>
      <c r="O10" s="3"/>
    </row>
    <row r="11" spans="1:15" ht="15.75">
      <c r="A11" s="288" t="s">
        <v>427</v>
      </c>
      <c r="B11" s="4"/>
      <c r="C11" s="2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1" ht="15">
      <c r="A12" s="1"/>
      <c r="B12" s="290" t="s">
        <v>962</v>
      </c>
      <c r="C12" s="290"/>
      <c r="D12" s="290"/>
      <c r="E12" s="290"/>
      <c r="F12" s="290"/>
      <c r="G12" s="290"/>
      <c r="H12" s="290"/>
      <c r="I12" s="290"/>
      <c r="J12" s="1"/>
      <c r="K12" s="1"/>
    </row>
    <row r="13" spans="1:11" ht="15">
      <c r="A13" s="1"/>
      <c r="B13" s="290" t="s">
        <v>164</v>
      </c>
      <c r="C13" s="290"/>
      <c r="D13" s="290"/>
      <c r="E13" s="290"/>
      <c r="F13" s="290"/>
      <c r="G13" s="290"/>
      <c r="H13" s="290"/>
      <c r="I13" s="290"/>
      <c r="J13" s="1"/>
      <c r="K13" s="1"/>
    </row>
    <row r="14" spans="1:11" ht="15">
      <c r="A14" s="1"/>
      <c r="B14" s="290" t="s">
        <v>1653</v>
      </c>
      <c r="C14" s="290"/>
      <c r="D14" s="290"/>
      <c r="E14" s="290"/>
      <c r="F14" s="290"/>
      <c r="G14" s="290"/>
      <c r="H14" s="290"/>
      <c r="I14" s="290"/>
      <c r="J14" s="1"/>
      <c r="K14" s="1"/>
    </row>
    <row r="15" spans="1:11" ht="15">
      <c r="A15" s="1"/>
      <c r="B15" s="290" t="s">
        <v>2038</v>
      </c>
      <c r="C15" s="290"/>
      <c r="D15" s="290"/>
      <c r="E15" s="290"/>
      <c r="F15" s="290"/>
      <c r="G15" s="290"/>
      <c r="H15" s="290"/>
      <c r="I15" s="290"/>
      <c r="J15" s="1"/>
      <c r="K15" s="1"/>
    </row>
    <row r="16" spans="1:11" ht="15.75">
      <c r="A16" s="288" t="s">
        <v>428</v>
      </c>
      <c r="B16" s="289"/>
      <c r="C16" s="289"/>
      <c r="D16" s="289"/>
      <c r="E16" s="289"/>
      <c r="F16" s="289"/>
      <c r="G16" s="289"/>
      <c r="H16" s="289"/>
      <c r="I16" s="289"/>
      <c r="J16" s="1"/>
      <c r="K16" s="1"/>
    </row>
    <row r="17" spans="1:11" ht="15.75">
      <c r="A17" s="288" t="s">
        <v>286</v>
      </c>
      <c r="B17" s="289"/>
      <c r="C17" s="289"/>
      <c r="D17" s="289"/>
      <c r="E17" s="289"/>
      <c r="F17" s="289"/>
      <c r="G17" s="289"/>
      <c r="H17" s="289"/>
      <c r="I17" s="289"/>
      <c r="J17" s="1"/>
      <c r="K17" s="1"/>
    </row>
    <row r="18" spans="1:11" ht="15.75">
      <c r="A18" s="288" t="s">
        <v>429</v>
      </c>
      <c r="B18" s="289"/>
      <c r="C18" s="289"/>
      <c r="D18" s="289"/>
      <c r="E18" s="289"/>
      <c r="F18" s="289"/>
      <c r="G18" s="289"/>
      <c r="H18" s="289"/>
      <c r="I18" s="289"/>
      <c r="J18" s="1"/>
      <c r="K18" s="1"/>
    </row>
    <row r="19" spans="1:15" ht="15.75">
      <c r="A19" s="3"/>
      <c r="B19" s="1" t="s">
        <v>1654</v>
      </c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 hidden="1">
      <c r="A20" s="3"/>
      <c r="B20" s="1" t="s">
        <v>1655</v>
      </c>
      <c r="C20" s="62"/>
      <c r="D20" s="7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1" ht="15" hidden="1">
      <c r="A21" s="1"/>
      <c r="B21" s="1" t="s">
        <v>1589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288" t="s">
        <v>1159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ht="15.75">
      <c r="A23" s="3"/>
      <c r="B23" s="1" t="s">
        <v>1606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" hidden="1">
      <c r="A24" s="1"/>
      <c r="B24" s="1" t="s">
        <v>1611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 t="s">
        <v>1612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" hidden="1">
      <c r="A26" s="1"/>
      <c r="B26" s="1" t="s">
        <v>1615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288" t="s">
        <v>1160</v>
      </c>
      <c r="B27" s="289"/>
      <c r="C27" s="289"/>
      <c r="D27" s="289"/>
      <c r="E27" s="289"/>
      <c r="F27" s="289"/>
      <c r="G27" s="289"/>
      <c r="H27" s="289"/>
      <c r="I27" s="289"/>
      <c r="J27" s="289"/>
      <c r="K27" s="1"/>
    </row>
    <row r="28" spans="1:11" ht="15.75">
      <c r="A28" s="3"/>
      <c r="B28" s="1" t="s">
        <v>464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 t="s">
        <v>1463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 t="s">
        <v>2017</v>
      </c>
      <c r="C30" s="1"/>
      <c r="D30" s="1"/>
      <c r="E30" s="1"/>
      <c r="F30" s="1"/>
      <c r="G30" s="1"/>
      <c r="H30" s="1"/>
      <c r="I30" s="1"/>
      <c r="J30" s="1"/>
      <c r="K30" s="1"/>
    </row>
    <row r="31" spans="1:12" ht="15.75">
      <c r="A31" s="288" t="s">
        <v>1656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91"/>
    </row>
    <row r="32" spans="1:12" ht="15.75">
      <c r="A32" s="288" t="s">
        <v>1201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91"/>
    </row>
    <row r="33" spans="1:15" ht="15.75">
      <c r="A33" s="3"/>
      <c r="B33" s="1" t="s">
        <v>1202</v>
      </c>
      <c r="C33" s="3"/>
      <c r="D33" s="3"/>
      <c r="E33" s="3"/>
      <c r="F33" s="11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3"/>
      <c r="B34" s="1" t="s">
        <v>70</v>
      </c>
      <c r="C34" s="62"/>
      <c r="D34" s="7"/>
      <c r="E34" s="7"/>
      <c r="F34" s="113"/>
      <c r="G34" s="3"/>
      <c r="H34" s="3"/>
      <c r="I34" s="3"/>
      <c r="J34" s="3"/>
      <c r="K34" s="3"/>
      <c r="L34" s="3"/>
      <c r="M34" s="3"/>
      <c r="N34" s="3"/>
      <c r="O34" s="3"/>
    </row>
    <row r="35" spans="1:11" ht="15">
      <c r="A35" s="1"/>
      <c r="B35" s="1" t="s">
        <v>71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 t="s">
        <v>402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 t="s">
        <v>403</v>
      </c>
      <c r="C37" s="1"/>
      <c r="D37" s="1"/>
      <c r="E37" s="1"/>
      <c r="F37" s="1"/>
      <c r="G37" s="1"/>
      <c r="H37" s="1"/>
      <c r="I37" s="1"/>
      <c r="J37" s="1"/>
      <c r="K37" s="1"/>
    </row>
    <row r="38" spans="1:12" ht="15.75">
      <c r="A38" s="288" t="s">
        <v>324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91"/>
    </row>
    <row r="39" spans="1:11" ht="15">
      <c r="A39" s="1"/>
      <c r="B39" s="1" t="s">
        <v>325</v>
      </c>
      <c r="C39" s="1"/>
      <c r="D39" s="1"/>
      <c r="E39" s="1"/>
      <c r="F39" s="1"/>
      <c r="G39" s="1"/>
      <c r="H39" s="1"/>
      <c r="I39" s="1"/>
      <c r="J39" s="1"/>
      <c r="K39" s="1"/>
    </row>
    <row r="40" spans="1:15" ht="15.75">
      <c r="A40" s="3"/>
      <c r="B40" s="1" t="s">
        <v>326</v>
      </c>
      <c r="C40" s="62"/>
      <c r="D40" s="7"/>
      <c r="E40" s="7"/>
      <c r="F40" s="11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3"/>
      <c r="B41" s="1" t="s">
        <v>1334</v>
      </c>
      <c r="C41" s="62"/>
      <c r="D41" s="7"/>
      <c r="E41" s="7"/>
      <c r="F41" s="113"/>
      <c r="G41" s="3"/>
      <c r="H41" s="3"/>
      <c r="I41" s="3"/>
      <c r="J41" s="3"/>
      <c r="K41" s="3"/>
      <c r="L41" s="3"/>
      <c r="M41" s="3"/>
      <c r="N41" s="3"/>
      <c r="O41" s="3"/>
    </row>
    <row r="42" spans="1:11" ht="15">
      <c r="A42" s="1"/>
      <c r="B42" s="1" t="s">
        <v>327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5" hidden="1">
      <c r="A43" s="1"/>
      <c r="B43" s="1" t="s">
        <v>1657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5.75" hidden="1">
      <c r="A44" s="288" t="s">
        <v>1018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</row>
    <row r="45" spans="1:11" ht="15.75" hidden="1">
      <c r="A45" s="288" t="s">
        <v>1019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</row>
    <row r="46" spans="1:11" ht="15.75" hidden="1">
      <c r="A46" s="288" t="s">
        <v>305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</row>
    <row r="47" spans="1:15" ht="15.75" hidden="1">
      <c r="A47" s="3"/>
      <c r="B47" s="1" t="s">
        <v>1606</v>
      </c>
      <c r="C47" s="62"/>
      <c r="D47" s="7"/>
      <c r="E47" s="7"/>
      <c r="F47" s="113"/>
      <c r="G47" s="3"/>
      <c r="H47" s="3"/>
      <c r="I47" s="3"/>
      <c r="J47" s="3"/>
      <c r="K47" s="3"/>
      <c r="L47" s="3"/>
      <c r="M47" s="3"/>
      <c r="N47" s="3"/>
      <c r="O47" s="3"/>
    </row>
    <row r="48" spans="1:11" ht="15" hidden="1">
      <c r="A48" s="1"/>
      <c r="B48" s="1" t="s">
        <v>1658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288" t="s">
        <v>418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</row>
    <row r="50" spans="1:11" ht="15.75">
      <c r="A50" s="288" t="s">
        <v>1166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</row>
    <row r="51" spans="1:11" ht="15.75">
      <c r="A51" s="288" t="s">
        <v>1167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</row>
    <row r="52" spans="1:15" ht="15.75">
      <c r="A52" s="3"/>
      <c r="B52" s="1" t="s">
        <v>419</v>
      </c>
      <c r="C52" s="62"/>
      <c r="D52" s="7"/>
      <c r="E52" s="7"/>
      <c r="F52" s="113"/>
      <c r="G52" s="3"/>
      <c r="H52" s="3"/>
      <c r="I52" s="3"/>
      <c r="J52" s="3"/>
      <c r="K52" s="3"/>
      <c r="L52" s="3"/>
      <c r="M52" s="3"/>
      <c r="N52" s="3"/>
      <c r="O52" s="3"/>
    </row>
    <row r="53" spans="1:11" ht="15">
      <c r="A53" s="1"/>
      <c r="B53" s="1" t="s">
        <v>1107</v>
      </c>
      <c r="C53" s="1"/>
      <c r="D53" s="1"/>
      <c r="E53" s="1"/>
      <c r="F53" s="1"/>
      <c r="G53" s="1"/>
      <c r="H53" s="1"/>
      <c r="I53" s="1"/>
      <c r="J53" s="1"/>
      <c r="K53" s="1"/>
    </row>
    <row r="54" spans="1:12" ht="15.75" hidden="1">
      <c r="A54" s="288" t="s">
        <v>1335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91"/>
    </row>
    <row r="55" spans="1:12" ht="15.75" hidden="1">
      <c r="A55" s="288" t="s">
        <v>1659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91"/>
    </row>
    <row r="56" spans="1:15" ht="15.75" hidden="1">
      <c r="A56" s="132"/>
      <c r="B56" s="1" t="s">
        <v>1660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hidden="1">
      <c r="A57" s="3"/>
      <c r="B57" s="1" t="s">
        <v>1661</v>
      </c>
      <c r="C57" s="62"/>
      <c r="D57" s="7"/>
      <c r="E57" s="7"/>
      <c r="F57" s="113"/>
      <c r="G57" s="3"/>
      <c r="H57" s="3"/>
      <c r="I57" s="3"/>
      <c r="J57" s="3"/>
      <c r="K57" s="3"/>
      <c r="L57" s="3"/>
      <c r="M57" s="3"/>
      <c r="N57" s="3"/>
      <c r="O57" s="3"/>
    </row>
    <row r="58" spans="1:11" ht="15.75" hidden="1">
      <c r="A58" s="288" t="s">
        <v>1922</v>
      </c>
      <c r="B58" s="289"/>
      <c r="C58" s="289"/>
      <c r="D58" s="289"/>
      <c r="E58" s="289"/>
      <c r="F58" s="289"/>
      <c r="G58" s="289"/>
      <c r="H58" s="289"/>
      <c r="I58" s="289"/>
      <c r="J58" s="289"/>
      <c r="K58" s="1"/>
    </row>
    <row r="59" spans="1:11" ht="15.75" hidden="1">
      <c r="A59" s="288" t="s">
        <v>1923</v>
      </c>
      <c r="B59" s="289"/>
      <c r="C59" s="289"/>
      <c r="D59" s="289"/>
      <c r="E59" s="289"/>
      <c r="F59" s="289"/>
      <c r="G59" s="289"/>
      <c r="H59" s="289"/>
      <c r="I59" s="289"/>
      <c r="J59" s="289"/>
      <c r="K59" s="1"/>
    </row>
    <row r="60" spans="1:11" ht="15.75" hidden="1">
      <c r="A60" s="288" t="s">
        <v>1456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1"/>
    </row>
  </sheetData>
  <sheetProtection/>
  <hyperlinks>
    <hyperlink ref="A3" location="'1'!A1" display="Раздел 1. ПРЕДПРОЕКТНЫЕ И ПРОЕКТНЫЕ РАБОТЫ"/>
    <hyperlink ref="A11" location="'2'!A1" display="Раздел 2. СТРОИТЕЛЬНО-МОНТАЖНЫЕ РАБОТЫ"/>
    <hyperlink ref="A16" location="'3'!A1" display="Раздел 3. ПУСКО-НАЛАДОЧНЫЕ РАБОТЫ, ПРИЕМКА И ВВОД В "/>
    <hyperlink ref="A18" location="'4'!A1" display="Раздел 4. ТЕХНИЧЕСКИЙ НАДЗОР ЗА СТРОИТЕЛЬСТВОМ"/>
    <hyperlink ref="A22" location="'5'!A1" display="Раздел 5. НАРУЖНЫЕ СТАЛЬНЫЕ ГАЗОПРОВОДЫ, АРМАТУРА И СООРУЖЕНИЯ"/>
    <hyperlink ref="A27" location="'6'!A1" display="Раздел 6. ЭЛЕКТРОХИМИЧЕСКАЯ ЗАЩИТА ГАЗОПРОВОДА ОТ КОРРОЗИИ"/>
    <hyperlink ref="A31" location="'7'!A1" display="Раздел 7. ГАЗОРЕГУЛЯТОРНЫЕ ПУНКТЫ (ГРП), ГАЗОРЕГУЛЯТОРНЫЕ УСТОНОВКИ (ГРУ)"/>
    <hyperlink ref="A38" location="'8'!A1" display="Раздел 8. РЕЗЕРВУАРНЫЕ, ИСПАРИТЕЛЬНЫЕ И ГРУППОВЫЕ БАЛЛОННЫЕ УСТАНОВКИ СУГ "/>
    <hyperlink ref="A44" location="'9'!A1" display="РАЗДЕЛ 9. ВНУТРЕННИЕ ГАЗОПРОВОДЫ,  ГАЗОИСПОЛЬЗУЮЩИЕ УСТАНОВКИ И"/>
    <hyperlink ref="A49:A51" location="'10'!A1" display="Раздел 10.  ВНУТРЕННИЕ ГАЗОПРОВОДЫ И БЫТОВОЕ ГАЗОВОЕ ОБОРУДОВАНИЕ "/>
    <hyperlink ref="A54:A55" location="'11'!A1" display="Раздел 11. ИЗГОТОВЛЕНИЕ И РЕМОНТДЕТАЛЕЙ И ЗАПАСНЫХ ЧАСТЕЙ К ГАЗОВОМУ "/>
    <hyperlink ref="A58:A60" location="'13,14'!A1" display="Раздел 12. ХИМИЧЕСКИЕ АНАЛИЗЫ"/>
  </hyperlink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U22"/>
  <sheetViews>
    <sheetView view="pageBreakPreview" zoomScaleNormal="99" zoomScaleSheetLayoutView="100" zoomScalePageLayoutView="0" workbookViewId="0" topLeftCell="A1">
      <pane xSplit="1" ySplit="1" topLeftCell="B2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O19" sqref="O19"/>
    </sheetView>
  </sheetViews>
  <sheetFormatPr defaultColWidth="9.00390625" defaultRowHeight="12.75"/>
  <cols>
    <col min="1" max="1" width="7.75390625" style="3" customWidth="1"/>
    <col min="2" max="2" width="55.25390625" style="3" customWidth="1"/>
    <col min="3" max="3" width="14.375" style="7" customWidth="1"/>
    <col min="4" max="4" width="12.25390625" style="3" hidden="1" customWidth="1"/>
    <col min="5" max="5" width="11.00390625" style="3" hidden="1" customWidth="1"/>
    <col min="6" max="6" width="15.25390625" style="3" hidden="1" customWidth="1"/>
    <col min="7" max="7" width="15.75390625" style="3" hidden="1" customWidth="1"/>
    <col min="8" max="8" width="14.75390625" style="3" hidden="1" customWidth="1"/>
    <col min="9" max="9" width="13.375" style="3" customWidth="1"/>
    <col min="10" max="10" width="13.375" style="376" customWidth="1"/>
    <col min="11" max="11" width="12.25390625" style="3" hidden="1" customWidth="1"/>
    <col min="12" max="12" width="11.75390625" style="3" hidden="1" customWidth="1"/>
    <col min="13" max="16384" width="9.125" style="3" customWidth="1"/>
  </cols>
  <sheetData>
    <row r="1" spans="1:10" s="2" customFormat="1" ht="15.75">
      <c r="A1" s="604" t="s">
        <v>1918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255" s="140" customFormat="1" ht="15.75">
      <c r="A2" s="604" t="s">
        <v>2361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  <c r="AS2" s="604"/>
      <c r="AT2" s="604"/>
      <c r="AU2" s="604"/>
      <c r="AV2" s="604"/>
      <c r="AW2" s="604"/>
      <c r="AX2" s="604"/>
      <c r="AY2" s="604"/>
      <c r="AZ2" s="604"/>
      <c r="BA2" s="604"/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04"/>
      <c r="BM2" s="604"/>
      <c r="BN2" s="604"/>
      <c r="BO2" s="604"/>
      <c r="BP2" s="604"/>
      <c r="BQ2" s="604"/>
      <c r="BR2" s="604"/>
      <c r="BS2" s="604"/>
      <c r="BT2" s="604"/>
      <c r="BU2" s="604"/>
      <c r="BV2" s="604"/>
      <c r="BW2" s="604"/>
      <c r="BX2" s="604"/>
      <c r="BY2" s="604"/>
      <c r="BZ2" s="604"/>
      <c r="CA2" s="604"/>
      <c r="CB2" s="604"/>
      <c r="CC2" s="604"/>
      <c r="CD2" s="604"/>
      <c r="CE2" s="604"/>
      <c r="CF2" s="604"/>
      <c r="CG2" s="604"/>
      <c r="CH2" s="604"/>
      <c r="CI2" s="604"/>
      <c r="CJ2" s="604"/>
      <c r="CK2" s="604"/>
      <c r="CL2" s="604"/>
      <c r="CM2" s="604"/>
      <c r="CN2" s="604"/>
      <c r="CO2" s="604"/>
      <c r="CP2" s="604"/>
      <c r="CQ2" s="604"/>
      <c r="CR2" s="604"/>
      <c r="CS2" s="604"/>
      <c r="CT2" s="604"/>
      <c r="CU2" s="604"/>
      <c r="CV2" s="604"/>
      <c r="CW2" s="604"/>
      <c r="CX2" s="604"/>
      <c r="CY2" s="604"/>
      <c r="CZ2" s="604"/>
      <c r="DA2" s="604"/>
      <c r="DB2" s="604"/>
      <c r="DC2" s="604"/>
      <c r="DD2" s="604"/>
      <c r="DE2" s="604"/>
      <c r="DF2" s="604"/>
      <c r="DG2" s="604"/>
      <c r="DH2" s="604"/>
      <c r="DI2" s="604"/>
      <c r="DJ2" s="604"/>
      <c r="DK2" s="604"/>
      <c r="DL2" s="604"/>
      <c r="DM2" s="604"/>
      <c r="DN2" s="604"/>
      <c r="DO2" s="604"/>
      <c r="DP2" s="604"/>
      <c r="DQ2" s="604"/>
      <c r="DR2" s="604"/>
      <c r="DS2" s="604"/>
      <c r="DT2" s="604"/>
      <c r="DU2" s="604"/>
      <c r="DV2" s="604"/>
      <c r="DW2" s="604"/>
      <c r="DX2" s="604"/>
      <c r="DY2" s="604"/>
      <c r="DZ2" s="604"/>
      <c r="EA2" s="604"/>
      <c r="EB2" s="604"/>
      <c r="EC2" s="604"/>
      <c r="ED2" s="604"/>
      <c r="EE2" s="604"/>
      <c r="EF2" s="604"/>
      <c r="EG2" s="604"/>
      <c r="EH2" s="604"/>
      <c r="EI2" s="604"/>
      <c r="EJ2" s="604"/>
      <c r="EK2" s="604"/>
      <c r="EL2" s="604"/>
      <c r="EM2" s="604"/>
      <c r="EN2" s="604"/>
      <c r="EO2" s="604"/>
      <c r="EP2" s="604"/>
      <c r="EQ2" s="604"/>
      <c r="ER2" s="604"/>
      <c r="ES2" s="604"/>
      <c r="ET2" s="604"/>
      <c r="EU2" s="604"/>
      <c r="EV2" s="604"/>
      <c r="EW2" s="604"/>
      <c r="EX2" s="604"/>
      <c r="EY2" s="604"/>
      <c r="EZ2" s="604"/>
      <c r="FA2" s="604"/>
      <c r="FB2" s="604"/>
      <c r="FC2" s="604"/>
      <c r="FD2" s="604"/>
      <c r="FE2" s="604"/>
      <c r="FF2" s="604"/>
      <c r="FG2" s="604"/>
      <c r="FH2" s="604"/>
      <c r="FI2" s="604"/>
      <c r="FJ2" s="604"/>
      <c r="FK2" s="604"/>
      <c r="FL2" s="604"/>
      <c r="FM2" s="604"/>
      <c r="FN2" s="604"/>
      <c r="FO2" s="604"/>
      <c r="FP2" s="604"/>
      <c r="FQ2" s="604"/>
      <c r="FR2" s="604"/>
      <c r="FS2" s="604"/>
      <c r="FT2" s="604"/>
      <c r="FU2" s="604"/>
      <c r="FV2" s="604"/>
      <c r="FW2" s="604"/>
      <c r="FX2" s="604"/>
      <c r="FY2" s="604"/>
      <c r="FZ2" s="604"/>
      <c r="GA2" s="604"/>
      <c r="GB2" s="604"/>
      <c r="GC2" s="604"/>
      <c r="GD2" s="604"/>
      <c r="GE2" s="604"/>
      <c r="GF2" s="604"/>
      <c r="GG2" s="604"/>
      <c r="GH2" s="604"/>
      <c r="GI2" s="604"/>
      <c r="GJ2" s="604"/>
      <c r="GK2" s="604"/>
      <c r="GL2" s="604"/>
      <c r="GM2" s="604"/>
      <c r="GN2" s="604"/>
      <c r="GO2" s="604"/>
      <c r="GP2" s="604"/>
      <c r="GQ2" s="604"/>
      <c r="GR2" s="604"/>
      <c r="GS2" s="604"/>
      <c r="GT2" s="604"/>
      <c r="GU2" s="604"/>
      <c r="GV2" s="604"/>
      <c r="GW2" s="604"/>
      <c r="GX2" s="604"/>
      <c r="GY2" s="604"/>
      <c r="GZ2" s="604"/>
      <c r="HA2" s="604"/>
      <c r="HB2" s="604"/>
      <c r="HC2" s="604"/>
      <c r="HD2" s="604"/>
      <c r="HE2" s="604"/>
      <c r="HF2" s="604"/>
      <c r="HG2" s="604"/>
      <c r="HH2" s="604"/>
      <c r="HI2" s="604"/>
      <c r="HJ2" s="604"/>
      <c r="HK2" s="604"/>
      <c r="HL2" s="604"/>
      <c r="HM2" s="604"/>
      <c r="HN2" s="604"/>
      <c r="HO2" s="604"/>
      <c r="HP2" s="604"/>
      <c r="HQ2" s="604"/>
      <c r="HR2" s="604"/>
      <c r="HS2" s="604"/>
      <c r="HT2" s="604"/>
      <c r="HU2" s="604"/>
      <c r="HV2" s="604"/>
      <c r="HW2" s="604"/>
      <c r="HX2" s="604"/>
      <c r="HY2" s="604"/>
      <c r="HZ2" s="604"/>
      <c r="IA2" s="604"/>
      <c r="IB2" s="604"/>
      <c r="IC2" s="604"/>
      <c r="ID2" s="604"/>
      <c r="IE2" s="604"/>
      <c r="IF2" s="604"/>
      <c r="IG2" s="604"/>
      <c r="IH2" s="604"/>
      <c r="II2" s="604"/>
      <c r="IJ2" s="604"/>
      <c r="IK2" s="604"/>
      <c r="IL2" s="604"/>
      <c r="IM2" s="604"/>
      <c r="IN2" s="604"/>
      <c r="IO2" s="604"/>
      <c r="IP2" s="604"/>
      <c r="IQ2" s="604"/>
      <c r="IR2" s="604"/>
      <c r="IS2" s="604"/>
      <c r="IT2" s="604"/>
      <c r="IU2" s="604"/>
    </row>
    <row r="4" spans="1:12" ht="54.75" customHeight="1">
      <c r="A4" s="370" t="s">
        <v>83</v>
      </c>
      <c r="B4" s="371" t="s">
        <v>82</v>
      </c>
      <c r="C4" s="371" t="s">
        <v>77</v>
      </c>
      <c r="D4" s="371" t="s">
        <v>81</v>
      </c>
      <c r="E4" s="372" t="s">
        <v>85</v>
      </c>
      <c r="F4" s="372" t="s">
        <v>78</v>
      </c>
      <c r="G4" s="372" t="s">
        <v>79</v>
      </c>
      <c r="H4" s="372" t="s">
        <v>80</v>
      </c>
      <c r="I4" s="371" t="s">
        <v>843</v>
      </c>
      <c r="J4" s="382" t="s">
        <v>2349</v>
      </c>
      <c r="K4" s="373" t="s">
        <v>2386</v>
      </c>
      <c r="L4" s="374" t="s">
        <v>2385</v>
      </c>
    </row>
    <row r="5" spans="1:12" ht="31.5">
      <c r="A5" s="136" t="s">
        <v>1908</v>
      </c>
      <c r="B5" s="61" t="s">
        <v>1909</v>
      </c>
      <c r="C5" s="74" t="s">
        <v>75</v>
      </c>
      <c r="D5" s="375" t="s">
        <v>1060</v>
      </c>
      <c r="E5" s="55">
        <f>'Тарифные ставки'!$B$3</f>
        <v>264.36199999999997</v>
      </c>
      <c r="F5" s="55">
        <v>2.5</v>
      </c>
      <c r="G5" s="55">
        <f>E5*F5</f>
        <v>660.905</v>
      </c>
      <c r="H5" s="55">
        <f>G5*'Тарифные ставки'!$B$13</f>
        <v>1705.1349</v>
      </c>
      <c r="I5" s="55">
        <f>H5*'Тарифные ставки'!$B$14*'Тарифные ставки'!$B$15</f>
        <v>2066.6234988</v>
      </c>
      <c r="J5" s="383">
        <f>I5-I5/'Тарифные ставки'!$B$15</f>
        <v>344.4372498</v>
      </c>
      <c r="K5" s="493">
        <v>2069.793</v>
      </c>
      <c r="L5" s="493">
        <f>I5/K5*100-100</f>
        <v>-0.15313131313131123</v>
      </c>
    </row>
    <row r="6" spans="1:12" ht="31.5">
      <c r="A6" s="136" t="s">
        <v>1910</v>
      </c>
      <c r="B6" s="61" t="s">
        <v>1255</v>
      </c>
      <c r="C6" s="74" t="s">
        <v>75</v>
      </c>
      <c r="D6" s="375" t="s">
        <v>1060</v>
      </c>
      <c r="E6" s="55">
        <f>'Тарифные ставки'!$B$3</f>
        <v>264.36199999999997</v>
      </c>
      <c r="F6" s="55">
        <v>2</v>
      </c>
      <c r="G6" s="55">
        <f aca="true" t="shared" si="0" ref="G6:G16">E6*F6</f>
        <v>528.7239999999999</v>
      </c>
      <c r="H6" s="55">
        <f>G6*'Тарифные ставки'!$B$13</f>
        <v>1364.10792</v>
      </c>
      <c r="I6" s="55">
        <f>H6*'Тарифные ставки'!$B$14*'Тарифные ставки'!$B$15</f>
        <v>1653.2987990399997</v>
      </c>
      <c r="J6" s="383">
        <f>I6-I6/'Тарифные ставки'!$B$15</f>
        <v>275.5497998399999</v>
      </c>
      <c r="K6" s="493">
        <v>1655.8344</v>
      </c>
      <c r="L6" s="493">
        <f aca="true" t="shared" si="1" ref="L6:L18">I6/K6*100-100</f>
        <v>-0.15313131313132544</v>
      </c>
    </row>
    <row r="7" spans="1:12" ht="53.25" customHeight="1">
      <c r="A7" s="136" t="s">
        <v>1911</v>
      </c>
      <c r="B7" s="61" t="s">
        <v>1912</v>
      </c>
      <c r="C7" s="74" t="s">
        <v>75</v>
      </c>
      <c r="D7" s="375" t="s">
        <v>1060</v>
      </c>
      <c r="E7" s="55">
        <f>'Тарифные ставки'!$B$3</f>
        <v>264.36199999999997</v>
      </c>
      <c r="F7" s="55">
        <v>2</v>
      </c>
      <c r="G7" s="55">
        <f t="shared" si="0"/>
        <v>528.7239999999999</v>
      </c>
      <c r="H7" s="55">
        <f>G7*'Тарифные ставки'!$B$13</f>
        <v>1364.10792</v>
      </c>
      <c r="I7" s="55">
        <f>H7*'Тарифные ставки'!$B$14*'Тарифные ставки'!$B$15</f>
        <v>1653.2987990399997</v>
      </c>
      <c r="J7" s="383">
        <f>I7-I7/'Тарифные ставки'!$B$15</f>
        <v>275.5497998399999</v>
      </c>
      <c r="K7" s="493">
        <v>1655.8344</v>
      </c>
      <c r="L7" s="493">
        <f t="shared" si="1"/>
        <v>-0.15313131313132544</v>
      </c>
    </row>
    <row r="8" spans="1:12" ht="31.5" hidden="1">
      <c r="A8" s="377" t="s">
        <v>1913</v>
      </c>
      <c r="B8" s="61" t="s">
        <v>1256</v>
      </c>
      <c r="C8" s="74" t="s">
        <v>75</v>
      </c>
      <c r="D8" s="60" t="s">
        <v>1928</v>
      </c>
      <c r="E8" s="55">
        <v>240.9</v>
      </c>
      <c r="F8" s="55">
        <v>4</v>
      </c>
      <c r="G8" s="55">
        <f t="shared" si="0"/>
        <v>963.6</v>
      </c>
      <c r="H8" s="55">
        <f aca="true" t="shared" si="2" ref="H8:H16">G8*2.58</f>
        <v>2486.088</v>
      </c>
      <c r="I8" s="55">
        <f aca="true" t="shared" si="3" ref="I8:I16">H8*1.05*1.2</f>
        <v>3132.4708800000003</v>
      </c>
      <c r="J8" s="383"/>
      <c r="K8" s="493">
        <v>3425.8831200000004</v>
      </c>
      <c r="L8" s="493">
        <f t="shared" si="1"/>
        <v>-8.564572395569641</v>
      </c>
    </row>
    <row r="9" spans="1:12" ht="15.75" hidden="1">
      <c r="A9" s="377" t="s">
        <v>644</v>
      </c>
      <c r="B9" s="61" t="s">
        <v>647</v>
      </c>
      <c r="C9" s="74" t="s">
        <v>75</v>
      </c>
      <c r="D9" s="60" t="s">
        <v>1928</v>
      </c>
      <c r="E9" s="55">
        <v>240.9</v>
      </c>
      <c r="F9" s="55">
        <v>10</v>
      </c>
      <c r="G9" s="55">
        <f t="shared" si="0"/>
        <v>2409</v>
      </c>
      <c r="H9" s="55">
        <f t="shared" si="2"/>
        <v>6215.22</v>
      </c>
      <c r="I9" s="55">
        <f t="shared" si="3"/>
        <v>7831.1772</v>
      </c>
      <c r="J9" s="383"/>
      <c r="K9" s="493">
        <v>8564.7078</v>
      </c>
      <c r="L9" s="493">
        <f t="shared" si="1"/>
        <v>-8.564572395569641</v>
      </c>
    </row>
    <row r="10" spans="1:12" ht="15.75" hidden="1">
      <c r="A10" s="377" t="s">
        <v>645</v>
      </c>
      <c r="B10" s="61" t="s">
        <v>646</v>
      </c>
      <c r="C10" s="74" t="s">
        <v>75</v>
      </c>
      <c r="D10" s="60" t="s">
        <v>1928</v>
      </c>
      <c r="E10" s="55">
        <v>240.9</v>
      </c>
      <c r="F10" s="55">
        <v>16</v>
      </c>
      <c r="G10" s="55">
        <f t="shared" si="0"/>
        <v>3854.4</v>
      </c>
      <c r="H10" s="55">
        <f t="shared" si="2"/>
        <v>9944.352</v>
      </c>
      <c r="I10" s="55">
        <f t="shared" si="3"/>
        <v>12529.883520000001</v>
      </c>
      <c r="J10" s="383"/>
      <c r="K10" s="493">
        <v>13703.532480000002</v>
      </c>
      <c r="L10" s="493">
        <f t="shared" si="1"/>
        <v>-8.564572395569641</v>
      </c>
    </row>
    <row r="11" spans="1:12" ht="15.75" hidden="1">
      <c r="A11" s="377" t="s">
        <v>648</v>
      </c>
      <c r="B11" s="61" t="s">
        <v>650</v>
      </c>
      <c r="C11" s="74" t="s">
        <v>75</v>
      </c>
      <c r="D11" s="60" t="s">
        <v>1928</v>
      </c>
      <c r="E11" s="55">
        <v>240.9</v>
      </c>
      <c r="F11" s="55">
        <v>11.5</v>
      </c>
      <c r="G11" s="55">
        <f t="shared" si="0"/>
        <v>2770.35</v>
      </c>
      <c r="H11" s="55">
        <f t="shared" si="2"/>
        <v>7147.503</v>
      </c>
      <c r="I11" s="55">
        <f t="shared" si="3"/>
        <v>9005.85378</v>
      </c>
      <c r="J11" s="383"/>
      <c r="K11" s="493">
        <v>9849.41397</v>
      </c>
      <c r="L11" s="493">
        <f t="shared" si="1"/>
        <v>-8.564572395569641</v>
      </c>
    </row>
    <row r="12" spans="1:12" ht="31.5" hidden="1">
      <c r="A12" s="377" t="s">
        <v>649</v>
      </c>
      <c r="B12" s="61" t="s">
        <v>651</v>
      </c>
      <c r="C12" s="74" t="s">
        <v>75</v>
      </c>
      <c r="D12" s="60" t="s">
        <v>1928</v>
      </c>
      <c r="E12" s="55">
        <v>240.9</v>
      </c>
      <c r="F12" s="55">
        <v>1.5</v>
      </c>
      <c r="G12" s="55">
        <f t="shared" si="0"/>
        <v>361.35</v>
      </c>
      <c r="H12" s="55">
        <f t="shared" si="2"/>
        <v>932.2830000000001</v>
      </c>
      <c r="I12" s="55">
        <f t="shared" si="3"/>
        <v>1174.67658</v>
      </c>
      <c r="J12" s="383"/>
      <c r="K12" s="493">
        <v>1284.7061700000002</v>
      </c>
      <c r="L12" s="493">
        <f t="shared" si="1"/>
        <v>-8.564572395569641</v>
      </c>
    </row>
    <row r="13" spans="1:12" ht="47.25">
      <c r="A13" s="136" t="s">
        <v>652</v>
      </c>
      <c r="B13" s="61" t="s">
        <v>1914</v>
      </c>
      <c r="C13" s="74" t="s">
        <v>1915</v>
      </c>
      <c r="D13" s="60" t="s">
        <v>2373</v>
      </c>
      <c r="E13" s="55">
        <f>'Тарифные ставки'!$B$2</f>
        <v>246.123</v>
      </c>
      <c r="F13" s="55">
        <v>0.5</v>
      </c>
      <c r="G13" s="55">
        <f t="shared" si="0"/>
        <v>123.0615</v>
      </c>
      <c r="H13" s="55">
        <f>G13*'Тарифные ставки'!$B$13</f>
        <v>317.49867</v>
      </c>
      <c r="I13" s="55">
        <f>H13*'Тарифные ставки'!$B$14*'Тарифные ставки'!$B$15</f>
        <v>384.80838803999995</v>
      </c>
      <c r="J13" s="383">
        <f>I13-I13/'Тарифные ставки'!$B$15</f>
        <v>64.13473133999997</v>
      </c>
      <c r="K13" s="493">
        <v>428.23539000000005</v>
      </c>
      <c r="L13" s="493">
        <f t="shared" si="1"/>
        <v>-10.140918516799857</v>
      </c>
    </row>
    <row r="14" spans="1:12" ht="31.5" hidden="1">
      <c r="A14" s="377" t="s">
        <v>653</v>
      </c>
      <c r="B14" s="61" t="s">
        <v>1916</v>
      </c>
      <c r="C14" s="74" t="s">
        <v>75</v>
      </c>
      <c r="D14" s="60" t="s">
        <v>2373</v>
      </c>
      <c r="E14" s="55">
        <f>(27000*1.3)/164*1.15</f>
        <v>246.1280487804878</v>
      </c>
      <c r="F14" s="55">
        <v>1</v>
      </c>
      <c r="G14" s="55">
        <f t="shared" si="0"/>
        <v>246.1280487804878</v>
      </c>
      <c r="H14" s="55">
        <f t="shared" si="2"/>
        <v>635.0103658536585</v>
      </c>
      <c r="I14" s="55">
        <f t="shared" si="3"/>
        <v>800.1130609756098</v>
      </c>
      <c r="J14" s="383"/>
      <c r="K14" s="493">
        <v>856.4707800000001</v>
      </c>
      <c r="L14" s="493">
        <f t="shared" si="1"/>
        <v>-6.580226709472839</v>
      </c>
    </row>
    <row r="15" spans="1:12" ht="31.5" hidden="1">
      <c r="A15" s="377" t="s">
        <v>654</v>
      </c>
      <c r="B15" s="61" t="s">
        <v>232</v>
      </c>
      <c r="C15" s="74" t="s">
        <v>75</v>
      </c>
      <c r="D15" s="60" t="s">
        <v>2373</v>
      </c>
      <c r="E15" s="55">
        <f>(27000*1.3)/164*1.15</f>
        <v>246.1280487804878</v>
      </c>
      <c r="F15" s="55">
        <v>2</v>
      </c>
      <c r="G15" s="55">
        <f t="shared" si="0"/>
        <v>492.2560975609756</v>
      </c>
      <c r="H15" s="55">
        <f t="shared" si="2"/>
        <v>1270.020731707317</v>
      </c>
      <c r="I15" s="55">
        <f t="shared" si="3"/>
        <v>1600.2261219512195</v>
      </c>
      <c r="J15" s="383"/>
      <c r="K15" s="493">
        <v>1712.9415600000002</v>
      </c>
      <c r="L15" s="493">
        <f t="shared" si="1"/>
        <v>-6.580226709472839</v>
      </c>
    </row>
    <row r="16" spans="1:12" ht="15.75" hidden="1">
      <c r="A16" s="377" t="s">
        <v>655</v>
      </c>
      <c r="B16" s="61" t="s">
        <v>657</v>
      </c>
      <c r="C16" s="74" t="s">
        <v>75</v>
      </c>
      <c r="D16" s="60" t="s">
        <v>2373</v>
      </c>
      <c r="E16" s="55">
        <f>(27000*1.3)/164*1.15</f>
        <v>246.1280487804878</v>
      </c>
      <c r="F16" s="55">
        <v>1</v>
      </c>
      <c r="G16" s="55">
        <f t="shared" si="0"/>
        <v>246.1280487804878</v>
      </c>
      <c r="H16" s="55">
        <f t="shared" si="2"/>
        <v>635.0103658536585</v>
      </c>
      <c r="I16" s="55">
        <f t="shared" si="3"/>
        <v>800.1130609756098</v>
      </c>
      <c r="J16" s="383"/>
      <c r="K16" s="493">
        <v>856.4707800000001</v>
      </c>
      <c r="L16" s="493">
        <f t="shared" si="1"/>
        <v>-6.580226709472839</v>
      </c>
    </row>
    <row r="17" spans="1:12" ht="63">
      <c r="A17" s="377" t="s">
        <v>653</v>
      </c>
      <c r="B17" s="61" t="s">
        <v>2363</v>
      </c>
      <c r="C17" s="74" t="s">
        <v>1915</v>
      </c>
      <c r="D17" s="60" t="s">
        <v>2373</v>
      </c>
      <c r="E17" s="55">
        <f>'Тарифные ставки'!$B$2</f>
        <v>246.123</v>
      </c>
      <c r="F17" s="55">
        <v>1.22</v>
      </c>
      <c r="G17" s="55">
        <f>F17*E17</f>
        <v>300.27006</v>
      </c>
      <c r="H17" s="55">
        <f>G17*'Тарифные ставки'!$B$13</f>
        <v>774.6967548</v>
      </c>
      <c r="I17" s="55">
        <f>H17*'Тарифные ставки'!$B$14*'Тарифные ставки'!$B$15</f>
        <v>938.9324668176</v>
      </c>
      <c r="J17" s="383">
        <f>I17-I17/'Тарифные ставки'!$B$15</f>
        <v>156.48874446959996</v>
      </c>
      <c r="K17" s="493">
        <v>1368.6618</v>
      </c>
      <c r="L17" s="493">
        <f t="shared" si="1"/>
        <v>-31.397773590407795</v>
      </c>
    </row>
    <row r="18" spans="1:12" ht="24.75" customHeight="1">
      <c r="A18" s="136" t="s">
        <v>656</v>
      </c>
      <c r="B18" s="61" t="s">
        <v>46</v>
      </c>
      <c r="C18" s="74" t="s">
        <v>75</v>
      </c>
      <c r="D18" s="60" t="s">
        <v>2373</v>
      </c>
      <c r="E18" s="55">
        <f>'Тарифные ставки'!$B$2</f>
        <v>246.123</v>
      </c>
      <c r="F18" s="55">
        <v>0.4</v>
      </c>
      <c r="G18" s="55">
        <f>E18*F18</f>
        <v>98.4492</v>
      </c>
      <c r="H18" s="55">
        <f>G18*'Тарифные ставки'!$B$13</f>
        <v>253.99893600000001</v>
      </c>
      <c r="I18" s="55">
        <f>H18*'Тарифные ставки'!$B$14*'Тарифные ставки'!$B$15</f>
        <v>307.846710432</v>
      </c>
      <c r="J18" s="383">
        <f>I18-I18/'Тарифные ставки'!$B$15</f>
        <v>51.307785072</v>
      </c>
      <c r="K18" s="493">
        <v>342.58831200000003</v>
      </c>
      <c r="L18" s="493">
        <f t="shared" si="1"/>
        <v>-10.140918516799843</v>
      </c>
    </row>
    <row r="19" spans="1:13" ht="15.75">
      <c r="A19" s="132" t="s">
        <v>1917</v>
      </c>
      <c r="B19" s="6"/>
      <c r="C19" s="378"/>
      <c r="D19" s="7"/>
      <c r="E19" s="58"/>
      <c r="F19" s="58"/>
      <c r="G19" s="58"/>
      <c r="H19" s="58"/>
      <c r="I19" s="58"/>
      <c r="J19" s="384"/>
      <c r="K19" s="58"/>
      <c r="L19" s="357"/>
      <c r="M19" s="58"/>
    </row>
    <row r="20" spans="1:13" ht="34.5" customHeight="1">
      <c r="A20" s="379" t="s">
        <v>2350</v>
      </c>
      <c r="B20" s="603" t="s">
        <v>2351</v>
      </c>
      <c r="C20" s="603"/>
      <c r="D20" s="603"/>
      <c r="E20" s="603"/>
      <c r="F20" s="603"/>
      <c r="G20" s="603"/>
      <c r="H20" s="603"/>
      <c r="I20" s="603"/>
      <c r="J20" s="603"/>
      <c r="K20" s="380"/>
      <c r="L20" s="380"/>
      <c r="M20" s="380"/>
    </row>
    <row r="21" spans="1:13" ht="47.25" customHeight="1">
      <c r="A21" s="379" t="s">
        <v>2352</v>
      </c>
      <c r="B21" s="603" t="s">
        <v>2353</v>
      </c>
      <c r="C21" s="603"/>
      <c r="D21" s="603"/>
      <c r="E21" s="603"/>
      <c r="F21" s="603"/>
      <c r="G21" s="603"/>
      <c r="H21" s="603"/>
      <c r="I21" s="603"/>
      <c r="J21" s="603"/>
      <c r="K21" s="380"/>
      <c r="L21" s="380"/>
      <c r="M21" s="380"/>
    </row>
    <row r="22" spans="1:13" ht="15.75">
      <c r="A22" s="379" t="s">
        <v>2354</v>
      </c>
      <c r="B22" s="603" t="s">
        <v>2355</v>
      </c>
      <c r="C22" s="603"/>
      <c r="D22" s="603"/>
      <c r="E22" s="603"/>
      <c r="F22" s="603"/>
      <c r="G22" s="603"/>
      <c r="H22" s="603"/>
      <c r="I22" s="603"/>
      <c r="J22" s="603"/>
      <c r="K22" s="380"/>
      <c r="L22" s="380"/>
      <c r="M22" s="380"/>
    </row>
  </sheetData>
  <sheetProtection/>
  <mergeCells count="30">
    <mergeCell ref="IF2:IO2"/>
    <mergeCell ref="IP2:IU2"/>
    <mergeCell ref="B20:J20"/>
    <mergeCell ref="AX2:BG2"/>
    <mergeCell ref="HV2:IE2"/>
    <mergeCell ref="DZ2:EI2"/>
    <mergeCell ref="EJ2:ES2"/>
    <mergeCell ref="ET2:FC2"/>
    <mergeCell ref="BH2:BQ2"/>
    <mergeCell ref="HL2:HU2"/>
    <mergeCell ref="A1:J1"/>
    <mergeCell ref="BR2:CA2"/>
    <mergeCell ref="DF2:DO2"/>
    <mergeCell ref="DP2:DY2"/>
    <mergeCell ref="GR2:HA2"/>
    <mergeCell ref="HB2:HK2"/>
    <mergeCell ref="CB2:CK2"/>
    <mergeCell ref="CL2:CU2"/>
    <mergeCell ref="CV2:DE2"/>
    <mergeCell ref="FD2:FM2"/>
    <mergeCell ref="B22:J22"/>
    <mergeCell ref="FX2:GG2"/>
    <mergeCell ref="GH2:GQ2"/>
    <mergeCell ref="B21:J21"/>
    <mergeCell ref="A2:J2"/>
    <mergeCell ref="K2:S2"/>
    <mergeCell ref="T2:AC2"/>
    <mergeCell ref="AD2:AM2"/>
    <mergeCell ref="AN2:AW2"/>
    <mergeCell ref="FN2:FW2"/>
  </mergeCells>
  <printOptions/>
  <pageMargins left="0.984251968503937" right="0.3937007874015748" top="0.3937007874015748" bottom="0.3937007874015748" header="0.5118110236220472" footer="0.5118110236220472"/>
  <pageSetup fitToHeight="26"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9"/>
  <sheetViews>
    <sheetView view="pageBreakPreview" zoomScaleSheetLayoutView="100" zoomScalePageLayoutView="0" workbookViewId="0" topLeftCell="A1">
      <pane xSplit="1" ySplit="5" topLeftCell="B286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R303" sqref="R303"/>
    </sheetView>
  </sheetViews>
  <sheetFormatPr defaultColWidth="9.00390625" defaultRowHeight="12.75"/>
  <cols>
    <col min="1" max="1" width="8.375" style="132" customWidth="1"/>
    <col min="2" max="2" width="76.375" style="6" customWidth="1"/>
    <col min="3" max="3" width="12.00390625" style="7" customWidth="1"/>
    <col min="4" max="4" width="13.875" style="7" hidden="1" customWidth="1"/>
    <col min="5" max="5" width="10.75390625" style="7" hidden="1" customWidth="1"/>
    <col min="6" max="7" width="12.75390625" style="3" hidden="1" customWidth="1"/>
    <col min="8" max="8" width="16.00390625" style="376" hidden="1" customWidth="1"/>
    <col min="9" max="9" width="13.00390625" style="425" customWidth="1"/>
    <col min="10" max="10" width="13.125" style="376" customWidth="1"/>
    <col min="11" max="11" width="13.125" style="376" hidden="1" customWidth="1"/>
    <col min="12" max="12" width="11.25390625" style="376" hidden="1" customWidth="1"/>
    <col min="13" max="15" width="9.125" style="3" hidden="1" customWidth="1"/>
    <col min="16" max="16384" width="9.125" style="3" customWidth="1"/>
  </cols>
  <sheetData>
    <row r="1" spans="1:12" s="2" customFormat="1" ht="15.75">
      <c r="A1" s="604" t="s">
        <v>427</v>
      </c>
      <c r="B1" s="604"/>
      <c r="C1" s="604"/>
      <c r="D1" s="604"/>
      <c r="E1" s="604"/>
      <c r="F1" s="604"/>
      <c r="G1" s="604"/>
      <c r="H1" s="604"/>
      <c r="I1" s="604"/>
      <c r="J1" s="604"/>
      <c r="K1" s="381"/>
      <c r="L1" s="381"/>
    </row>
    <row r="2" spans="1:12" s="2" customFormat="1" ht="15.75" hidden="1">
      <c r="A2" s="131"/>
      <c r="B2" s="4"/>
      <c r="C2" s="5"/>
      <c r="D2" s="5"/>
      <c r="E2" s="5"/>
      <c r="H2" s="381"/>
      <c r="I2" s="413"/>
      <c r="J2" s="381"/>
      <c r="K2" s="381"/>
      <c r="L2" s="381"/>
    </row>
    <row r="3" spans="1:12" s="140" customFormat="1" ht="15.75">
      <c r="A3" s="604" t="s">
        <v>962</v>
      </c>
      <c r="B3" s="604"/>
      <c r="C3" s="604"/>
      <c r="D3" s="604"/>
      <c r="E3" s="604"/>
      <c r="F3" s="604"/>
      <c r="G3" s="604"/>
      <c r="H3" s="604"/>
      <c r="I3" s="604"/>
      <c r="J3" s="604"/>
      <c r="K3" s="386"/>
      <c r="L3" s="386"/>
    </row>
    <row r="4" spans="3:12" s="140" customFormat="1" ht="15.75" hidden="1">
      <c r="C4" s="171"/>
      <c r="H4" s="386"/>
      <c r="I4" s="414"/>
      <c r="J4" s="386"/>
      <c r="K4" s="386"/>
      <c r="L4" s="386"/>
    </row>
    <row r="5" spans="1:13" ht="51" customHeight="1">
      <c r="A5" s="328" t="s">
        <v>83</v>
      </c>
      <c r="B5" s="313" t="s">
        <v>82</v>
      </c>
      <c r="C5" s="313" t="s">
        <v>77</v>
      </c>
      <c r="D5" s="313" t="s">
        <v>81</v>
      </c>
      <c r="E5" s="314" t="s">
        <v>85</v>
      </c>
      <c r="F5" s="314" t="s">
        <v>78</v>
      </c>
      <c r="G5" s="314" t="s">
        <v>79</v>
      </c>
      <c r="H5" s="393" t="s">
        <v>80</v>
      </c>
      <c r="I5" s="394" t="s">
        <v>843</v>
      </c>
      <c r="J5" s="393" t="s">
        <v>2349</v>
      </c>
      <c r="K5" s="387" t="s">
        <v>2386</v>
      </c>
      <c r="L5" s="388" t="s">
        <v>2385</v>
      </c>
      <c r="M5" s="3" t="s">
        <v>2370</v>
      </c>
    </row>
    <row r="6" spans="1:10" ht="31.5">
      <c r="A6" s="141" t="s">
        <v>963</v>
      </c>
      <c r="B6" s="11" t="s">
        <v>1003</v>
      </c>
      <c r="C6" s="16" t="s">
        <v>964</v>
      </c>
      <c r="D6" s="451"/>
      <c r="E6" s="451"/>
      <c r="F6" s="451"/>
      <c r="G6" s="451"/>
      <c r="H6" s="457"/>
      <c r="I6" s="457"/>
      <c r="J6" s="457"/>
    </row>
    <row r="7" spans="1:14" ht="15.75">
      <c r="A7" s="141"/>
      <c r="B7" s="624" t="s">
        <v>1004</v>
      </c>
      <c r="C7" s="330"/>
      <c r="D7" s="203" t="s">
        <v>2306</v>
      </c>
      <c r="E7" s="16">
        <f>'Тарифные ставки'!$B$4</f>
        <v>148.166</v>
      </c>
      <c r="F7" s="16">
        <v>2.3</v>
      </c>
      <c r="G7" s="16">
        <f>E7*F7</f>
        <v>340.7818</v>
      </c>
      <c r="H7" s="625">
        <f>(G7+G8+G9)*'Тарифные ставки'!$B$13</f>
        <v>2088.5217390000003</v>
      </c>
      <c r="I7" s="622">
        <f>H7*'Тарифные ставки'!$B$14*'Тарифные ставки'!$B$15</f>
        <v>2531.2883476680004</v>
      </c>
      <c r="J7" s="625">
        <f>I7-I7/'Тарифные ставки'!$B$15</f>
        <v>421.88139127800014</v>
      </c>
      <c r="K7" s="376">
        <v>2226.846798</v>
      </c>
      <c r="L7" s="376">
        <f>I7/K7*100-100</f>
        <v>13.671418704754572</v>
      </c>
      <c r="M7" s="3">
        <v>3376</v>
      </c>
      <c r="N7" s="358">
        <f>M7/I7*100</f>
        <v>133.37081897881004</v>
      </c>
    </row>
    <row r="8" spans="1:14" ht="15.75" hidden="1">
      <c r="A8" s="141"/>
      <c r="B8" s="624"/>
      <c r="C8" s="330"/>
      <c r="D8" s="203" t="s">
        <v>2308</v>
      </c>
      <c r="E8" s="16">
        <f>'Тарифные ставки'!$B$5</f>
        <v>137.4825</v>
      </c>
      <c r="F8" s="16">
        <v>2.3</v>
      </c>
      <c r="G8" s="16">
        <f aca="true" t="shared" si="0" ref="G8:G14">E8*F8</f>
        <v>316.20974999999993</v>
      </c>
      <c r="H8" s="625"/>
      <c r="I8" s="622"/>
      <c r="J8" s="625">
        <f>I8-I8/'Тарифные ставки'!$B$15</f>
        <v>0</v>
      </c>
      <c r="N8" s="358"/>
    </row>
    <row r="9" spans="1:14" ht="24" customHeight="1" hidden="1">
      <c r="A9" s="141"/>
      <c r="B9" s="14"/>
      <c r="C9" s="330"/>
      <c r="D9" s="205" t="s">
        <v>842</v>
      </c>
      <c r="E9" s="16">
        <f>'Тарифные ставки'!$B$10</f>
        <v>152.513</v>
      </c>
      <c r="F9" s="16">
        <v>1</v>
      </c>
      <c r="G9" s="16">
        <f>E9*F9</f>
        <v>152.513</v>
      </c>
      <c r="H9" s="626"/>
      <c r="I9" s="623"/>
      <c r="J9" s="626">
        <f>I9-I9/'Тарифные ставки'!$B$15</f>
        <v>0</v>
      </c>
      <c r="N9" s="358"/>
    </row>
    <row r="10" spans="1:14" ht="15.75">
      <c r="A10" s="141"/>
      <c r="B10" s="624" t="s">
        <v>1005</v>
      </c>
      <c r="C10" s="330"/>
      <c r="D10" s="203" t="s">
        <v>2306</v>
      </c>
      <c r="E10" s="16">
        <f>'Тарифные ставки'!$B$4</f>
        <v>148.166</v>
      </c>
      <c r="F10" s="16">
        <v>2.88</v>
      </c>
      <c r="G10" s="16">
        <f t="shared" si="0"/>
        <v>426.71808</v>
      </c>
      <c r="H10" s="625">
        <f>(G10+G11+G12)*'Тарифные ставки'!$B$13</f>
        <v>2673.3595704</v>
      </c>
      <c r="I10" s="622">
        <f>H10*'Тарифные ставки'!$B$14*'Тарифные ставки'!$B$15</f>
        <v>3240.1117993248</v>
      </c>
      <c r="J10" s="625">
        <f>I10-I10/'Тарифные ставки'!$B$15</f>
        <v>540.0186332208</v>
      </c>
      <c r="K10" s="376">
        <v>2863.6699608000004</v>
      </c>
      <c r="L10" s="376">
        <f>I10/K10*100-100</f>
        <v>13.145433785240954</v>
      </c>
      <c r="M10" s="3">
        <v>3879</v>
      </c>
      <c r="N10" s="358">
        <f>M10/I10*100</f>
        <v>119.71809123402275</v>
      </c>
    </row>
    <row r="11" spans="1:14" ht="15.75" hidden="1">
      <c r="A11" s="141"/>
      <c r="B11" s="624"/>
      <c r="C11" s="330"/>
      <c r="D11" s="203" t="s">
        <v>2308</v>
      </c>
      <c r="E11" s="16">
        <f>'Тарифные ставки'!$B$5</f>
        <v>137.4825</v>
      </c>
      <c r="F11" s="16">
        <v>2.88</v>
      </c>
      <c r="G11" s="16">
        <f t="shared" si="0"/>
        <v>395.9496</v>
      </c>
      <c r="H11" s="625"/>
      <c r="I11" s="622"/>
      <c r="J11" s="625">
        <f>I11-I11/'Тарифные ставки'!$B$15</f>
        <v>0</v>
      </c>
      <c r="N11" s="358"/>
    </row>
    <row r="12" spans="1:14" ht="24" customHeight="1" hidden="1">
      <c r="A12" s="141"/>
      <c r="B12" s="14"/>
      <c r="C12" s="330"/>
      <c r="D12" s="205" t="s">
        <v>842</v>
      </c>
      <c r="E12" s="16">
        <f>'Тарифные ставки'!$B$10</f>
        <v>152.513</v>
      </c>
      <c r="F12" s="16">
        <v>1.4</v>
      </c>
      <c r="G12" s="16">
        <f>E12*F12</f>
        <v>213.5182</v>
      </c>
      <c r="H12" s="626"/>
      <c r="I12" s="623"/>
      <c r="J12" s="626">
        <f>I12-I12/'Тарифные ставки'!$B$15</f>
        <v>0</v>
      </c>
      <c r="N12" s="358"/>
    </row>
    <row r="13" spans="1:14" ht="15.75">
      <c r="A13" s="141"/>
      <c r="B13" s="624" t="s">
        <v>1006</v>
      </c>
      <c r="C13" s="330"/>
      <c r="D13" s="203" t="s">
        <v>2306</v>
      </c>
      <c r="E13" s="16">
        <f>'Тарифные ставки'!$B$4</f>
        <v>148.166</v>
      </c>
      <c r="F13" s="16">
        <v>3.6</v>
      </c>
      <c r="G13" s="16">
        <f t="shared" si="0"/>
        <v>533.3976</v>
      </c>
      <c r="H13" s="625">
        <f>(G13+G14+G15)*'Тарифные ставки'!$B$13</f>
        <v>3243.328578</v>
      </c>
      <c r="I13" s="622">
        <f>H13*'Тарифные ставки'!$B$14*'Тарифные ставки'!$B$15</f>
        <v>3930.914236536</v>
      </c>
      <c r="J13" s="625">
        <f>I13-I13/'Тарифные ставки'!$B$15</f>
        <v>655.1523727559997</v>
      </c>
      <c r="K13" s="376">
        <v>3452.2917660000007</v>
      </c>
      <c r="L13" s="376">
        <f>I13/K13*100-100</f>
        <v>13.863905572806075</v>
      </c>
      <c r="M13" s="3">
        <v>4563</v>
      </c>
      <c r="N13" s="358">
        <f>M13/I13*100</f>
        <v>116.07986655086646</v>
      </c>
    </row>
    <row r="14" spans="1:14" ht="15.75" hidden="1">
      <c r="A14" s="141"/>
      <c r="B14" s="624"/>
      <c r="C14" s="330"/>
      <c r="D14" s="203" t="s">
        <v>2308</v>
      </c>
      <c r="E14" s="16">
        <f>'Тарифные ставки'!$B$5</f>
        <v>137.4825</v>
      </c>
      <c r="F14" s="16">
        <v>3.6</v>
      </c>
      <c r="G14" s="16">
        <f t="shared" si="0"/>
        <v>494.93699999999995</v>
      </c>
      <c r="H14" s="625"/>
      <c r="I14" s="622"/>
      <c r="J14" s="625">
        <f>I14-I14/'Тарифные ставки'!$B$15</f>
        <v>0</v>
      </c>
      <c r="N14" s="358"/>
    </row>
    <row r="15" spans="1:14" ht="24" customHeight="1" hidden="1">
      <c r="A15" s="141"/>
      <c r="B15" s="14"/>
      <c r="C15" s="330"/>
      <c r="D15" s="205" t="s">
        <v>842</v>
      </c>
      <c r="E15" s="16">
        <f>'Тарифные ставки'!$B$10</f>
        <v>152.513</v>
      </c>
      <c r="F15" s="16">
        <v>1.5</v>
      </c>
      <c r="G15" s="16">
        <f>E15*F15</f>
        <v>228.7695</v>
      </c>
      <c r="H15" s="626"/>
      <c r="I15" s="623"/>
      <c r="J15" s="626">
        <f>I15-I15/'Тарифные ставки'!$B$15</f>
        <v>0</v>
      </c>
      <c r="N15" s="358"/>
    </row>
    <row r="16" spans="1:14" ht="63">
      <c r="A16" s="317"/>
      <c r="B16" s="317" t="s">
        <v>2504</v>
      </c>
      <c r="C16" s="331"/>
      <c r="D16" s="331"/>
      <c r="E16" s="331"/>
      <c r="F16" s="331"/>
      <c r="G16" s="331"/>
      <c r="H16" s="416"/>
      <c r="I16" s="416"/>
      <c r="J16" s="416"/>
      <c r="N16" s="358"/>
    </row>
    <row r="17" spans="1:14" ht="31.5">
      <c r="A17" s="141" t="s">
        <v>965</v>
      </c>
      <c r="B17" s="11" t="s">
        <v>1277</v>
      </c>
      <c r="C17" s="16" t="s">
        <v>964</v>
      </c>
      <c r="D17" s="451"/>
      <c r="E17" s="451"/>
      <c r="F17" s="451"/>
      <c r="G17" s="451"/>
      <c r="H17" s="457"/>
      <c r="I17" s="457"/>
      <c r="J17" s="457"/>
      <c r="N17" s="358"/>
    </row>
    <row r="18" spans="1:14" ht="15.75">
      <c r="A18" s="141"/>
      <c r="B18" s="624" t="s">
        <v>1278</v>
      </c>
      <c r="C18" s="343"/>
      <c r="D18" s="203" t="s">
        <v>2306</v>
      </c>
      <c r="E18" s="16">
        <f>'Тарифные ставки'!$B$4</f>
        <v>148.166</v>
      </c>
      <c r="F18" s="16">
        <v>1.44</v>
      </c>
      <c r="G18" s="16">
        <f>E18*F18</f>
        <v>213.35904</v>
      </c>
      <c r="H18" s="625">
        <f>(G18+G19+G20)*'Тарифные ставки'!$B$13</f>
        <v>1336.6797852</v>
      </c>
      <c r="I18" s="622">
        <f>H18*'Тарифные ставки'!$B$14*'Тарифные ставки'!$B$15</f>
        <v>1620.0558996624</v>
      </c>
      <c r="J18" s="625">
        <f>I18-I18/'Тарифные ставки'!$B$15</f>
        <v>270.0093166104</v>
      </c>
      <c r="K18" s="376">
        <v>1431.8349804000002</v>
      </c>
      <c r="L18" s="376">
        <f>I18/K18*100-100</f>
        <v>13.145433785240954</v>
      </c>
      <c r="M18" s="3">
        <v>1890</v>
      </c>
      <c r="N18" s="358">
        <f>M18/I18*100</f>
        <v>116.66264110972054</v>
      </c>
    </row>
    <row r="19" spans="1:14" ht="15.75" hidden="1">
      <c r="A19" s="141"/>
      <c r="B19" s="624"/>
      <c r="C19" s="343"/>
      <c r="D19" s="203" t="s">
        <v>2308</v>
      </c>
      <c r="E19" s="16">
        <f>'Тарифные ставки'!$B$5</f>
        <v>137.4825</v>
      </c>
      <c r="F19" s="16">
        <v>1.44</v>
      </c>
      <c r="G19" s="16">
        <f aca="true" t="shared" si="1" ref="G19:G37">E19*F19</f>
        <v>197.9748</v>
      </c>
      <c r="H19" s="625"/>
      <c r="I19" s="622"/>
      <c r="J19" s="625">
        <f>I19-I19/'Тарифные ставки'!$B$15</f>
        <v>0</v>
      </c>
      <c r="N19" s="358"/>
    </row>
    <row r="20" spans="1:14" ht="24" customHeight="1" hidden="1">
      <c r="A20" s="141"/>
      <c r="B20" s="14"/>
      <c r="C20" s="343"/>
      <c r="D20" s="205" t="s">
        <v>842</v>
      </c>
      <c r="E20" s="16">
        <f>'Тарифные ставки'!$B$10</f>
        <v>152.513</v>
      </c>
      <c r="F20" s="16">
        <v>0.7</v>
      </c>
      <c r="G20" s="16">
        <f>E20*F20</f>
        <v>106.7591</v>
      </c>
      <c r="H20" s="626"/>
      <c r="I20" s="623"/>
      <c r="J20" s="626">
        <f>I20-I20/'Тарифные ставки'!$B$15</f>
        <v>0</v>
      </c>
      <c r="N20" s="358"/>
    </row>
    <row r="21" spans="1:14" ht="15.75">
      <c r="A21" s="141"/>
      <c r="B21" s="624" t="s">
        <v>1279</v>
      </c>
      <c r="C21" s="343"/>
      <c r="D21" s="203" t="s">
        <v>2306</v>
      </c>
      <c r="E21" s="16">
        <f>'Тарифные ставки'!$B$4</f>
        <v>148.166</v>
      </c>
      <c r="F21" s="16">
        <v>1.7</v>
      </c>
      <c r="G21" s="16">
        <f t="shared" si="1"/>
        <v>251.88219999999998</v>
      </c>
      <c r="H21" s="625">
        <f>(G21+G22+G23)*'Тарифные ставки'!$B$13</f>
        <v>1567.641153</v>
      </c>
      <c r="I21" s="622">
        <f>H21*'Тарифные ставки'!$B$14*'Тарифные ставки'!$B$15</f>
        <v>1899.9810774359999</v>
      </c>
      <c r="J21" s="625">
        <f>I21-I21/'Тарифные ставки'!$B$15</f>
        <v>316.6635129059998</v>
      </c>
      <c r="K21" s="376">
        <v>1676.9239740000003</v>
      </c>
      <c r="L21" s="376">
        <f>I21/K21*100-100</f>
        <v>13.301563272659095</v>
      </c>
      <c r="M21" s="3">
        <v>2188</v>
      </c>
      <c r="N21" s="358">
        <f>M21/I21*100</f>
        <v>115.1590416338608</v>
      </c>
    </row>
    <row r="22" spans="1:14" ht="15.75" hidden="1">
      <c r="A22" s="141"/>
      <c r="B22" s="624"/>
      <c r="C22" s="343"/>
      <c r="D22" s="203" t="s">
        <v>2308</v>
      </c>
      <c r="E22" s="16">
        <f>'Тарифные ставки'!$B$5</f>
        <v>137.4825</v>
      </c>
      <c r="F22" s="16">
        <v>1.7</v>
      </c>
      <c r="G22" s="16">
        <f t="shared" si="1"/>
        <v>233.72024999999996</v>
      </c>
      <c r="H22" s="625"/>
      <c r="I22" s="622"/>
      <c r="J22" s="625">
        <f>I22-I22/'Тарифные ставки'!$B$15</f>
        <v>0</v>
      </c>
      <c r="N22" s="358"/>
    </row>
    <row r="23" spans="1:14" ht="24" customHeight="1" hidden="1">
      <c r="A23" s="141"/>
      <c r="B23" s="14"/>
      <c r="C23" s="343"/>
      <c r="D23" s="205" t="s">
        <v>842</v>
      </c>
      <c r="E23" s="16">
        <f>'Тарифные ставки'!$B$10</f>
        <v>152.513</v>
      </c>
      <c r="F23" s="16">
        <v>0.8</v>
      </c>
      <c r="G23" s="16">
        <f>E23*F23</f>
        <v>122.0104</v>
      </c>
      <c r="H23" s="626"/>
      <c r="I23" s="623"/>
      <c r="J23" s="626">
        <f>I23-I23/'Тарифные ставки'!$B$15</f>
        <v>0</v>
      </c>
      <c r="N23" s="358"/>
    </row>
    <row r="24" spans="1:14" ht="15.75">
      <c r="A24" s="141"/>
      <c r="B24" s="624" t="s">
        <v>1280</v>
      </c>
      <c r="C24" s="343"/>
      <c r="D24" s="203" t="s">
        <v>2306</v>
      </c>
      <c r="E24" s="16">
        <f>'Тарифные ставки'!$B$4</f>
        <v>148.166</v>
      </c>
      <c r="F24" s="16">
        <v>2</v>
      </c>
      <c r="G24" s="16">
        <f t="shared" si="1"/>
        <v>296.332</v>
      </c>
      <c r="H24" s="625">
        <f>(G24+G25+G26)*'Тарифные ставки'!$B$13</f>
        <v>1867.4298000000001</v>
      </c>
      <c r="I24" s="622">
        <f>H24*'Тарифные ставки'!$B$14*'Тарифные ставки'!$B$15</f>
        <v>2263.3249176</v>
      </c>
      <c r="J24" s="625">
        <f>I24-I24/'Тарифные ставки'!$B$15</f>
        <v>377.2208195999999</v>
      </c>
      <c r="K24" s="376">
        <v>2002.8036600000003</v>
      </c>
      <c r="L24" s="376">
        <f>I24/K24*100-100</f>
        <v>13.007828116311686</v>
      </c>
      <c r="M24" s="3">
        <v>2674</v>
      </c>
      <c r="N24" s="358">
        <f>M24/I24*100</f>
        <v>118.14476919361073</v>
      </c>
    </row>
    <row r="25" spans="1:14" ht="15.75" hidden="1">
      <c r="A25" s="141"/>
      <c r="B25" s="624"/>
      <c r="C25" s="343"/>
      <c r="D25" s="203" t="s">
        <v>2308</v>
      </c>
      <c r="E25" s="16">
        <f>'Тарифные ставки'!$B$5</f>
        <v>137.4825</v>
      </c>
      <c r="F25" s="16">
        <v>2</v>
      </c>
      <c r="G25" s="16">
        <f t="shared" si="1"/>
        <v>274.965</v>
      </c>
      <c r="H25" s="625"/>
      <c r="I25" s="622"/>
      <c r="J25" s="625">
        <f>I25-I25/'Тарифные ставки'!$B$15</f>
        <v>0</v>
      </c>
      <c r="N25" s="358"/>
    </row>
    <row r="26" spans="1:14" ht="24" customHeight="1" hidden="1">
      <c r="A26" s="141"/>
      <c r="B26" s="14"/>
      <c r="C26" s="343"/>
      <c r="D26" s="205" t="s">
        <v>842</v>
      </c>
      <c r="E26" s="16">
        <f>'Тарифные ставки'!$B$10</f>
        <v>152.513</v>
      </c>
      <c r="F26" s="16">
        <v>1</v>
      </c>
      <c r="G26" s="16">
        <f>E26*F26</f>
        <v>152.513</v>
      </c>
      <c r="H26" s="626"/>
      <c r="I26" s="623"/>
      <c r="J26" s="626">
        <f>I26-I26/'Тарифные ставки'!$B$15</f>
        <v>0</v>
      </c>
      <c r="N26" s="358"/>
    </row>
    <row r="27" spans="1:14" ht="15.75">
      <c r="A27" s="141"/>
      <c r="B27" s="624" t="s">
        <v>1281</v>
      </c>
      <c r="C27" s="343"/>
      <c r="D27" s="203" t="s">
        <v>2306</v>
      </c>
      <c r="E27" s="16">
        <f>'Тарифные ставки'!$B$4</f>
        <v>148.166</v>
      </c>
      <c r="F27" s="16">
        <v>2.88</v>
      </c>
      <c r="G27" s="16">
        <f t="shared" si="1"/>
        <v>426.71808</v>
      </c>
      <c r="H27" s="625">
        <f>(G27+G28+G29)*'Тарифные ставки'!$B$13</f>
        <v>2673.3595704</v>
      </c>
      <c r="I27" s="622">
        <f>H27*'Тарифные ставки'!$B$14*'Тарифные ставки'!$B$15</f>
        <v>3240.1117993248</v>
      </c>
      <c r="J27" s="625">
        <f>I27-I27/'Тарифные ставки'!$B$15</f>
        <v>540.0186332208</v>
      </c>
      <c r="K27" s="376">
        <v>2863.6699608000004</v>
      </c>
      <c r="L27" s="376">
        <f>I27/K27*100-100</f>
        <v>13.145433785240954</v>
      </c>
      <c r="M27" s="3">
        <v>3376</v>
      </c>
      <c r="N27" s="358">
        <f>M27/I27*100</f>
        <v>104.19393555196206</v>
      </c>
    </row>
    <row r="28" spans="1:14" ht="15.75" hidden="1">
      <c r="A28" s="141"/>
      <c r="B28" s="624"/>
      <c r="C28" s="343"/>
      <c r="D28" s="203" t="s">
        <v>2308</v>
      </c>
      <c r="E28" s="16">
        <f>'Тарифные ставки'!$B$5</f>
        <v>137.4825</v>
      </c>
      <c r="F28" s="16">
        <v>2.88</v>
      </c>
      <c r="G28" s="16">
        <f t="shared" si="1"/>
        <v>395.9496</v>
      </c>
      <c r="H28" s="625"/>
      <c r="I28" s="622"/>
      <c r="J28" s="625">
        <f>I28-I28/'Тарифные ставки'!$B$15</f>
        <v>0</v>
      </c>
      <c r="N28" s="358"/>
    </row>
    <row r="29" spans="1:14" ht="24" customHeight="1" hidden="1">
      <c r="A29" s="141"/>
      <c r="B29" s="14"/>
      <c r="C29" s="343"/>
      <c r="D29" s="205" t="s">
        <v>842</v>
      </c>
      <c r="E29" s="16">
        <f>'Тарифные ставки'!$B$10</f>
        <v>152.513</v>
      </c>
      <c r="F29" s="16">
        <v>1.4</v>
      </c>
      <c r="G29" s="16">
        <f>E29*F29</f>
        <v>213.5182</v>
      </c>
      <c r="H29" s="626"/>
      <c r="I29" s="623"/>
      <c r="J29" s="626">
        <f>I29-I29/'Тарифные ставки'!$B$15</f>
        <v>0</v>
      </c>
      <c r="N29" s="358"/>
    </row>
    <row r="30" spans="1:14" ht="15.75">
      <c r="A30" s="141"/>
      <c r="B30" s="624" t="s">
        <v>1282</v>
      </c>
      <c r="C30" s="343"/>
      <c r="D30" s="203" t="s">
        <v>2306</v>
      </c>
      <c r="E30" s="16">
        <f>'Тарифные ставки'!$B$4</f>
        <v>148.166</v>
      </c>
      <c r="F30" s="16">
        <v>3.5</v>
      </c>
      <c r="G30" s="16">
        <f t="shared" si="1"/>
        <v>518.581</v>
      </c>
      <c r="H30" s="625">
        <f>(G30+G31+G32)*'Тарифные ставки'!$B$13</f>
        <v>3169.6312649999995</v>
      </c>
      <c r="I30" s="622">
        <f>H30*'Тарифные ставки'!$B$14*'Тарифные ставки'!$B$15</f>
        <v>3841.5930931799994</v>
      </c>
      <c r="J30" s="625">
        <f>I30-I30/'Тарифные ставки'!$B$15</f>
        <v>640.2655155299999</v>
      </c>
      <c r="K30" s="376">
        <v>3377.61072</v>
      </c>
      <c r="L30" s="376">
        <f>I30/K30*100-100</f>
        <v>13.736999661701674</v>
      </c>
      <c r="M30" s="3">
        <v>4349</v>
      </c>
      <c r="N30" s="358">
        <f>M30/I30*100</f>
        <v>113.2082418546827</v>
      </c>
    </row>
    <row r="31" spans="1:14" ht="15.75" hidden="1">
      <c r="A31" s="141"/>
      <c r="B31" s="624"/>
      <c r="C31" s="343"/>
      <c r="D31" s="203" t="s">
        <v>2308</v>
      </c>
      <c r="E31" s="16">
        <f>'Тарифные ставки'!$B$5</f>
        <v>137.4825</v>
      </c>
      <c r="F31" s="16">
        <v>3.5</v>
      </c>
      <c r="G31" s="16">
        <f t="shared" si="1"/>
        <v>481.18874999999997</v>
      </c>
      <c r="H31" s="625"/>
      <c r="I31" s="622"/>
      <c r="J31" s="625">
        <f>I31-I31/'Тарифные ставки'!$B$15</f>
        <v>0</v>
      </c>
      <c r="N31" s="358"/>
    </row>
    <row r="32" spans="1:14" ht="24" customHeight="1" hidden="1">
      <c r="A32" s="141"/>
      <c r="B32" s="14"/>
      <c r="C32" s="343"/>
      <c r="D32" s="205" t="s">
        <v>842</v>
      </c>
      <c r="E32" s="16">
        <f>132.62*1.15</f>
        <v>152.513</v>
      </c>
      <c r="F32" s="16">
        <v>1.5</v>
      </c>
      <c r="G32" s="16">
        <f>E32*F32</f>
        <v>228.7695</v>
      </c>
      <c r="H32" s="626"/>
      <c r="I32" s="623"/>
      <c r="J32" s="626">
        <f>I32-I32/'Тарифные ставки'!$B$15</f>
        <v>0</v>
      </c>
      <c r="N32" s="358"/>
    </row>
    <row r="33" spans="1:14" ht="15.75" customHeight="1" hidden="1">
      <c r="A33" s="316"/>
      <c r="B33" s="624" t="s">
        <v>1283</v>
      </c>
      <c r="C33" s="343"/>
      <c r="D33" s="203" t="s">
        <v>2306</v>
      </c>
      <c r="E33" s="16">
        <v>128.84</v>
      </c>
      <c r="F33" s="16">
        <v>4.25</v>
      </c>
      <c r="G33" s="16">
        <f t="shared" si="1"/>
        <v>547.57</v>
      </c>
      <c r="H33" s="625">
        <f>(G33+G34+G35)*3.36</f>
        <v>4438.2155999999995</v>
      </c>
      <c r="I33" s="625">
        <f>H33*1.05*1.2</f>
        <v>5592.151655999999</v>
      </c>
      <c r="J33" s="625"/>
      <c r="N33" s="358"/>
    </row>
    <row r="34" spans="1:14" ht="15.75" customHeight="1" hidden="1">
      <c r="A34" s="316"/>
      <c r="B34" s="624"/>
      <c r="C34" s="343"/>
      <c r="D34" s="203" t="s">
        <v>2308</v>
      </c>
      <c r="E34" s="16">
        <v>119.55</v>
      </c>
      <c r="F34" s="16">
        <v>4.25</v>
      </c>
      <c r="G34" s="16">
        <f t="shared" si="1"/>
        <v>508.0875</v>
      </c>
      <c r="H34" s="625"/>
      <c r="I34" s="625"/>
      <c r="J34" s="625"/>
      <c r="N34" s="358"/>
    </row>
    <row r="35" spans="1:14" ht="24" customHeight="1" hidden="1">
      <c r="A35" s="316"/>
      <c r="B35" s="14"/>
      <c r="C35" s="343"/>
      <c r="D35" s="205" t="s">
        <v>842</v>
      </c>
      <c r="E35" s="16">
        <v>132.62</v>
      </c>
      <c r="F35" s="16">
        <v>2</v>
      </c>
      <c r="G35" s="16">
        <f>E35*F35</f>
        <v>265.24</v>
      </c>
      <c r="H35" s="626"/>
      <c r="I35" s="626"/>
      <c r="J35" s="626"/>
      <c r="N35" s="358"/>
    </row>
    <row r="36" spans="1:14" ht="15.75" customHeight="1" hidden="1">
      <c r="A36" s="316"/>
      <c r="B36" s="624" t="s">
        <v>1284</v>
      </c>
      <c r="C36" s="343"/>
      <c r="D36" s="203" t="s">
        <v>2306</v>
      </c>
      <c r="E36" s="16">
        <v>128.84</v>
      </c>
      <c r="F36" s="16">
        <v>5.1</v>
      </c>
      <c r="G36" s="16">
        <f t="shared" si="1"/>
        <v>657.084</v>
      </c>
      <c r="H36" s="625">
        <f>(G36+G37+G38)*3.36</f>
        <v>7196.226239999998</v>
      </c>
      <c r="I36" s="625">
        <f>H36*1.05*1.2</f>
        <v>9067.245062399998</v>
      </c>
      <c r="J36" s="625"/>
      <c r="N36" s="358"/>
    </row>
    <row r="37" spans="1:14" ht="15.75" customHeight="1" hidden="1">
      <c r="A37" s="316"/>
      <c r="B37" s="624"/>
      <c r="C37" s="343"/>
      <c r="D37" s="203" t="s">
        <v>2308</v>
      </c>
      <c r="E37" s="16">
        <v>119.55</v>
      </c>
      <c r="F37" s="16">
        <v>10.2</v>
      </c>
      <c r="G37" s="16">
        <f t="shared" si="1"/>
        <v>1219.4099999999999</v>
      </c>
      <c r="H37" s="625"/>
      <c r="I37" s="625"/>
      <c r="J37" s="625"/>
      <c r="N37" s="358"/>
    </row>
    <row r="38" spans="1:14" ht="24" customHeight="1" hidden="1">
      <c r="A38" s="141"/>
      <c r="B38" s="15"/>
      <c r="C38" s="451"/>
      <c r="D38" s="205" t="s">
        <v>842</v>
      </c>
      <c r="E38" s="16">
        <v>132.62</v>
      </c>
      <c r="F38" s="16">
        <v>2</v>
      </c>
      <c r="G38" s="16">
        <f>E38*F38</f>
        <v>265.24</v>
      </c>
      <c r="H38" s="626"/>
      <c r="I38" s="626"/>
      <c r="J38" s="626"/>
      <c r="N38" s="358"/>
    </row>
    <row r="39" spans="1:14" ht="31.5">
      <c r="A39" s="317"/>
      <c r="B39" s="317" t="s">
        <v>1285</v>
      </c>
      <c r="C39" s="331"/>
      <c r="D39" s="331"/>
      <c r="E39" s="331"/>
      <c r="F39" s="331"/>
      <c r="G39" s="331"/>
      <c r="H39" s="416"/>
      <c r="I39" s="416"/>
      <c r="J39" s="416"/>
      <c r="N39" s="358"/>
    </row>
    <row r="40" spans="1:14" ht="31.5">
      <c r="A40" s="141" t="s">
        <v>966</v>
      </c>
      <c r="B40" s="11" t="s">
        <v>1286</v>
      </c>
      <c r="C40" s="368" t="s">
        <v>967</v>
      </c>
      <c r="D40" s="368"/>
      <c r="E40" s="368"/>
      <c r="F40" s="368"/>
      <c r="G40" s="368"/>
      <c r="H40" s="450"/>
      <c r="I40" s="450"/>
      <c r="J40" s="450"/>
      <c r="N40" s="358"/>
    </row>
    <row r="41" spans="1:14" ht="15.75">
      <c r="A41" s="141"/>
      <c r="B41" s="624" t="s">
        <v>1287</v>
      </c>
      <c r="C41" s="343"/>
      <c r="D41" s="203" t="s">
        <v>2306</v>
      </c>
      <c r="E41" s="16">
        <f>'Тарифные ставки'!$B$4</f>
        <v>148.166</v>
      </c>
      <c r="F41" s="16">
        <v>1.87</v>
      </c>
      <c r="G41" s="16">
        <f aca="true" t="shared" si="2" ref="G41:G51">E41*F41</f>
        <v>277.07042</v>
      </c>
      <c r="H41" s="610">
        <f>(G41+G42+G43)*'Тарифные ставки'!$B$13</f>
        <v>1732.2749391</v>
      </c>
      <c r="I41" s="638">
        <f>H41*'Тарифные ставки'!$B$14*'Тарифные ставки'!$B$15</f>
        <v>2099.5172261892</v>
      </c>
      <c r="J41" s="636">
        <f>I41-I41/'Тарифные ставки'!$B$15</f>
        <v>349.9195376982</v>
      </c>
      <c r="K41" s="376">
        <v>1854.8000262</v>
      </c>
      <c r="L41" s="376">
        <f>I41/K41*100-100</f>
        <v>13.1937242038195</v>
      </c>
      <c r="N41" s="358">
        <f>M41/I41*100</f>
        <v>0</v>
      </c>
    </row>
    <row r="42" spans="1:14" ht="15.75" hidden="1">
      <c r="A42" s="141"/>
      <c r="B42" s="624"/>
      <c r="C42" s="343"/>
      <c r="D42" s="203" t="s">
        <v>2308</v>
      </c>
      <c r="E42" s="16">
        <f>'Тарифные ставки'!$B$5</f>
        <v>137.4825</v>
      </c>
      <c r="F42" s="16">
        <v>1.87</v>
      </c>
      <c r="G42" s="16">
        <f t="shared" si="2"/>
        <v>257.092275</v>
      </c>
      <c r="H42" s="610"/>
      <c r="I42" s="622"/>
      <c r="J42" s="625">
        <f>I42-I42/'Тарифные ставки'!$B$15</f>
        <v>0</v>
      </c>
      <c r="N42" s="358"/>
    </row>
    <row r="43" spans="1:14" ht="24" customHeight="1" hidden="1">
      <c r="A43" s="141"/>
      <c r="B43" s="14"/>
      <c r="C43" s="343"/>
      <c r="D43" s="205" t="s">
        <v>842</v>
      </c>
      <c r="E43" s="16">
        <f>'Тарифные ставки'!$B$10</f>
        <v>152.513</v>
      </c>
      <c r="F43" s="16">
        <v>0.9</v>
      </c>
      <c r="G43" s="16">
        <f>E43*F43</f>
        <v>137.26170000000002</v>
      </c>
      <c r="H43" s="621"/>
      <c r="I43" s="639"/>
      <c r="J43" s="637">
        <f>I43-I43/'Тарифные ставки'!$B$15</f>
        <v>0</v>
      </c>
      <c r="N43" s="358"/>
    </row>
    <row r="44" spans="1:14" ht="15.75">
      <c r="A44" s="141"/>
      <c r="B44" s="624" t="s">
        <v>1288</v>
      </c>
      <c r="C44" s="343"/>
      <c r="D44" s="203" t="s">
        <v>2306</v>
      </c>
      <c r="E44" s="16">
        <f>'Тарифные ставки'!$B$4</f>
        <v>148.166</v>
      </c>
      <c r="F44" s="16">
        <v>2.21</v>
      </c>
      <c r="G44" s="16">
        <f t="shared" si="2"/>
        <v>327.44686</v>
      </c>
      <c r="H44" s="610">
        <f>(G44+G45+G46)*'Тарифные ставки'!$B$13</f>
        <v>2022.1941573000001</v>
      </c>
      <c r="I44" s="638">
        <f>H44*'Тарифные ставки'!$B$14*'Тарифные ставки'!$B$15</f>
        <v>2450.8993186476</v>
      </c>
      <c r="J44" s="636">
        <f>I44-I44/'Тарифные ставки'!$B$15</f>
        <v>408.4832197746</v>
      </c>
      <c r="K44" s="376">
        <v>2159.6338566</v>
      </c>
      <c r="L44" s="376">
        <f>I44/K44*100-100</f>
        <v>13.486798290250519</v>
      </c>
      <c r="N44" s="358">
        <f>M44/I44*100</f>
        <v>0</v>
      </c>
    </row>
    <row r="45" spans="1:14" ht="15.75" hidden="1">
      <c r="A45" s="141"/>
      <c r="B45" s="624"/>
      <c r="C45" s="343"/>
      <c r="D45" s="203" t="s">
        <v>2308</v>
      </c>
      <c r="E45" s="16">
        <f>'Тарифные ставки'!$B$5</f>
        <v>137.4825</v>
      </c>
      <c r="F45" s="16">
        <v>2.21</v>
      </c>
      <c r="G45" s="16">
        <f t="shared" si="2"/>
        <v>303.836325</v>
      </c>
      <c r="H45" s="610"/>
      <c r="I45" s="622"/>
      <c r="J45" s="625">
        <f>I45-I45/'Тарифные ставки'!$B$15</f>
        <v>0</v>
      </c>
      <c r="N45" s="358"/>
    </row>
    <row r="46" spans="1:14" ht="24" customHeight="1" hidden="1">
      <c r="A46" s="141"/>
      <c r="B46" s="14"/>
      <c r="C46" s="343"/>
      <c r="D46" s="205" t="s">
        <v>842</v>
      </c>
      <c r="E46" s="16">
        <f>'Тарифные ставки'!$B$10</f>
        <v>152.513</v>
      </c>
      <c r="F46" s="16">
        <v>1</v>
      </c>
      <c r="G46" s="16">
        <f>E46*F46</f>
        <v>152.513</v>
      </c>
      <c r="H46" s="621"/>
      <c r="I46" s="639"/>
      <c r="J46" s="637">
        <f>I46-I46/'Тарифные ставки'!$B$15</f>
        <v>0</v>
      </c>
      <c r="N46" s="358"/>
    </row>
    <row r="47" spans="1:14" ht="15.75">
      <c r="A47" s="141"/>
      <c r="B47" s="640" t="s">
        <v>1289</v>
      </c>
      <c r="C47" s="445"/>
      <c r="D47" s="209" t="s">
        <v>2306</v>
      </c>
      <c r="E47" s="16">
        <f>'Тарифные ставки'!$B$4</f>
        <v>148.166</v>
      </c>
      <c r="F47" s="299">
        <v>2.6</v>
      </c>
      <c r="G47" s="299">
        <f t="shared" si="2"/>
        <v>385.2316</v>
      </c>
      <c r="H47" s="610">
        <f>(G47+G48+G49)*'Тарифные ставки'!$B$13</f>
        <v>2427.65874</v>
      </c>
      <c r="I47" s="638">
        <f>H47*'Тарифные ставки'!$B$14*'Тарифные ставки'!$B$15</f>
        <v>2942.32239288</v>
      </c>
      <c r="J47" s="636">
        <f>I47-I47/'Тарифные ставки'!$B$15</f>
        <v>490.3870654799998</v>
      </c>
      <c r="K47" s="376">
        <v>2603.644758000001</v>
      </c>
      <c r="L47" s="376">
        <f>I47/K47*100-100</f>
        <v>13.007828116311671</v>
      </c>
      <c r="N47" s="358">
        <f>M47/I47*100</f>
        <v>0</v>
      </c>
    </row>
    <row r="48" spans="1:14" ht="15.75" hidden="1">
      <c r="A48" s="141"/>
      <c r="B48" s="640"/>
      <c r="C48" s="445"/>
      <c r="D48" s="318" t="s">
        <v>2308</v>
      </c>
      <c r="E48" s="16">
        <f>'Тарифные ставки'!$B$5</f>
        <v>137.4825</v>
      </c>
      <c r="F48" s="299">
        <v>2.6</v>
      </c>
      <c r="G48" s="299">
        <f t="shared" si="2"/>
        <v>357.4545</v>
      </c>
      <c r="H48" s="610"/>
      <c r="I48" s="622"/>
      <c r="J48" s="625">
        <f>I48-I48/'Тарифные ставки'!$B$15</f>
        <v>0</v>
      </c>
      <c r="N48" s="358"/>
    </row>
    <row r="49" spans="1:14" ht="24" customHeight="1" hidden="1">
      <c r="A49" s="141"/>
      <c r="B49" s="14"/>
      <c r="C49" s="433"/>
      <c r="D49" s="207" t="s">
        <v>842</v>
      </c>
      <c r="E49" s="16">
        <f>'Тарифные ставки'!$B$10</f>
        <v>152.513</v>
      </c>
      <c r="F49" s="28">
        <v>1.3</v>
      </c>
      <c r="G49" s="28">
        <f>E49*F49</f>
        <v>198.26690000000002</v>
      </c>
      <c r="H49" s="621"/>
      <c r="I49" s="639"/>
      <c r="J49" s="637">
        <f>I49-I49/'Тарифные ставки'!$B$15</f>
        <v>0</v>
      </c>
      <c r="N49" s="358"/>
    </row>
    <row r="50" spans="1:14" ht="15.75" customHeight="1">
      <c r="A50" s="615" t="s">
        <v>968</v>
      </c>
      <c r="B50" s="608" t="s">
        <v>2005</v>
      </c>
      <c r="C50" s="618" t="s">
        <v>967</v>
      </c>
      <c r="D50" s="203" t="s">
        <v>2306</v>
      </c>
      <c r="E50" s="16">
        <f>'Тарифные ставки'!$B$4</f>
        <v>148.166</v>
      </c>
      <c r="F50" s="29">
        <v>4.2</v>
      </c>
      <c r="G50" s="198">
        <f t="shared" si="2"/>
        <v>622.2972</v>
      </c>
      <c r="H50" s="610">
        <f>(G50+G51+G52)*'Тарифные ставки'!$B$13</f>
        <v>5372.014596</v>
      </c>
      <c r="I50" s="638">
        <f>H50*'Тарифные ставки'!$B$14*'Тарифные ставки'!$B$15</f>
        <v>6510.881690352</v>
      </c>
      <c r="J50" s="636">
        <f>I50-I50/'Тарифные ставки'!$B$15</f>
        <v>1085.146948392</v>
      </c>
      <c r="K50" s="376">
        <v>5665.412808000002</v>
      </c>
      <c r="L50" s="376">
        <f>I50/K50*100-100</f>
        <v>14.923341175741527</v>
      </c>
      <c r="M50" s="3">
        <v>6892</v>
      </c>
      <c r="N50" s="358">
        <f>M50/I50*100</f>
        <v>105.85355913029031</v>
      </c>
    </row>
    <row r="51" spans="1:14" ht="15.75">
      <c r="A51" s="616"/>
      <c r="B51" s="634"/>
      <c r="C51" s="619"/>
      <c r="D51" s="203" t="s">
        <v>2308</v>
      </c>
      <c r="E51" s="16">
        <f>'Тарифные ставки'!$B$5</f>
        <v>137.4825</v>
      </c>
      <c r="F51" s="299">
        <v>8.4</v>
      </c>
      <c r="G51" s="299">
        <f t="shared" si="2"/>
        <v>1154.8529999999998</v>
      </c>
      <c r="H51" s="610"/>
      <c r="I51" s="622"/>
      <c r="J51" s="625">
        <f>I51-I51/'Тарифные ставки'!$B$15</f>
        <v>0</v>
      </c>
      <c r="N51" s="358"/>
    </row>
    <row r="52" spans="1:14" ht="33" customHeight="1">
      <c r="A52" s="617"/>
      <c r="B52" s="635"/>
      <c r="C52" s="620"/>
      <c r="D52" s="207" t="s">
        <v>2369</v>
      </c>
      <c r="E52" s="16">
        <f>'Тарифные ставки'!$B$10</f>
        <v>152.513</v>
      </c>
      <c r="F52" s="16">
        <v>2</v>
      </c>
      <c r="G52" s="299">
        <f>E52*F52</f>
        <v>305.026</v>
      </c>
      <c r="H52" s="621"/>
      <c r="I52" s="639"/>
      <c r="J52" s="637">
        <f>I52-I52/'Тарифные ставки'!$B$15</f>
        <v>0</v>
      </c>
      <c r="N52" s="358"/>
    </row>
    <row r="53" spans="1:14" ht="47.25">
      <c r="A53" s="141" t="s">
        <v>969</v>
      </c>
      <c r="B53" s="11" t="s">
        <v>1290</v>
      </c>
      <c r="C53" s="458" t="s">
        <v>970</v>
      </c>
      <c r="D53" s="368"/>
      <c r="E53" s="368"/>
      <c r="F53" s="368"/>
      <c r="G53" s="368"/>
      <c r="H53" s="450"/>
      <c r="I53" s="450"/>
      <c r="J53" s="450"/>
      <c r="N53" s="358"/>
    </row>
    <row r="54" spans="1:14" ht="15.75">
      <c r="A54" s="141"/>
      <c r="B54" s="624" t="s">
        <v>1291</v>
      </c>
      <c r="C54" s="343"/>
      <c r="D54" s="203" t="s">
        <v>2306</v>
      </c>
      <c r="E54" s="16">
        <f>'Тарифные ставки'!$B$4</f>
        <v>148.166</v>
      </c>
      <c r="F54" s="16">
        <v>1.2</v>
      </c>
      <c r="G54" s="16">
        <f>E54*F54</f>
        <v>177.79919999999998</v>
      </c>
      <c r="H54" s="610">
        <f>(G54+G55+G56)*'Тарифные ставки'!$B$13</f>
        <v>1120.45788</v>
      </c>
      <c r="I54" s="638">
        <f>H54*'Тарифные ставки'!$B$14*'Тарифные ставки'!$B$15</f>
        <v>1357.99495056</v>
      </c>
      <c r="J54" s="636">
        <f>I54-I54/'Тарифные ставки'!$B$15</f>
        <v>226.33249176000004</v>
      </c>
      <c r="K54" s="376">
        <v>1201.682196</v>
      </c>
      <c r="L54" s="376">
        <f>I54/K54*100-100</f>
        <v>13.007828116311714</v>
      </c>
      <c r="M54" s="3">
        <v>1387</v>
      </c>
      <c r="N54" s="358">
        <f>M54/I54*100</f>
        <v>102.13587314356649</v>
      </c>
    </row>
    <row r="55" spans="1:14" ht="15.75" hidden="1">
      <c r="A55" s="141"/>
      <c r="B55" s="624"/>
      <c r="C55" s="343"/>
      <c r="D55" s="203" t="s">
        <v>2308</v>
      </c>
      <c r="E55" s="16">
        <f>'Тарифные ставки'!$B$5</f>
        <v>137.4825</v>
      </c>
      <c r="F55" s="16">
        <v>1.2</v>
      </c>
      <c r="G55" s="16">
        <f aca="true" t="shared" si="3" ref="G55:G73">E55*F55</f>
        <v>164.97899999999998</v>
      </c>
      <c r="H55" s="610"/>
      <c r="I55" s="622"/>
      <c r="J55" s="625">
        <f>I55-I55/'Тарифные ставки'!$B$15</f>
        <v>0</v>
      </c>
      <c r="N55" s="358"/>
    </row>
    <row r="56" spans="1:14" ht="24" customHeight="1" hidden="1">
      <c r="A56" s="141"/>
      <c r="B56" s="14"/>
      <c r="C56" s="343"/>
      <c r="D56" s="205" t="s">
        <v>842</v>
      </c>
      <c r="E56" s="16">
        <f>'Тарифные ставки'!$B$10</f>
        <v>152.513</v>
      </c>
      <c r="F56" s="16">
        <v>0.6</v>
      </c>
      <c r="G56" s="16">
        <f>E56*F56</f>
        <v>91.5078</v>
      </c>
      <c r="H56" s="621"/>
      <c r="I56" s="639"/>
      <c r="J56" s="637">
        <f>I56-I56/'Тарифные ставки'!$B$15</f>
        <v>0</v>
      </c>
      <c r="N56" s="358"/>
    </row>
    <row r="57" spans="1:14" ht="15.75">
      <c r="A57" s="141"/>
      <c r="B57" s="624" t="s">
        <v>1292</v>
      </c>
      <c r="C57" s="343"/>
      <c r="D57" s="203" t="s">
        <v>2306</v>
      </c>
      <c r="E57" s="16">
        <f>'Тарифные ставки'!$B$4</f>
        <v>148.166</v>
      </c>
      <c r="F57" s="16">
        <v>1.44</v>
      </c>
      <c r="G57" s="16">
        <f t="shared" si="3"/>
        <v>213.35904</v>
      </c>
      <c r="H57" s="610">
        <f>(G57+G58+G59)*'Тарифные ставки'!$B$13</f>
        <v>1336.6797852</v>
      </c>
      <c r="I57" s="638">
        <f>H57*'Тарифные ставки'!$B$14*'Тарифные ставки'!$B$15</f>
        <v>1620.0558996624</v>
      </c>
      <c r="J57" s="636">
        <f>I57-I57/'Тарифные ставки'!$B$15</f>
        <v>270.0093166104</v>
      </c>
      <c r="K57" s="376">
        <v>1431.8349804000002</v>
      </c>
      <c r="L57" s="376">
        <f>I57/K57*100-100</f>
        <v>13.145433785240954</v>
      </c>
      <c r="M57" s="3">
        <v>1812</v>
      </c>
      <c r="N57" s="358">
        <f>M57/I57*100</f>
        <v>111.84799242900192</v>
      </c>
    </row>
    <row r="58" spans="1:14" ht="15.75" hidden="1">
      <c r="A58" s="141"/>
      <c r="B58" s="624"/>
      <c r="C58" s="343"/>
      <c r="D58" s="203" t="s">
        <v>2308</v>
      </c>
      <c r="E58" s="16">
        <f>'Тарифные ставки'!$B$5</f>
        <v>137.4825</v>
      </c>
      <c r="F58" s="16">
        <v>1.44</v>
      </c>
      <c r="G58" s="16">
        <f t="shared" si="3"/>
        <v>197.9748</v>
      </c>
      <c r="H58" s="610"/>
      <c r="I58" s="622"/>
      <c r="J58" s="625">
        <f>I58-I58/'Тарифные ставки'!$B$15</f>
        <v>0</v>
      </c>
      <c r="N58" s="358"/>
    </row>
    <row r="59" spans="1:14" ht="24" customHeight="1" hidden="1">
      <c r="A59" s="141"/>
      <c r="B59" s="14"/>
      <c r="C59" s="343"/>
      <c r="D59" s="205" t="s">
        <v>842</v>
      </c>
      <c r="E59" s="16">
        <f>'Тарифные ставки'!$B$10</f>
        <v>152.513</v>
      </c>
      <c r="F59" s="16">
        <v>0.7</v>
      </c>
      <c r="G59" s="16">
        <f>E59*F59</f>
        <v>106.7591</v>
      </c>
      <c r="H59" s="621"/>
      <c r="I59" s="639"/>
      <c r="J59" s="637">
        <f>I59-I59/'Тарифные ставки'!$B$15</f>
        <v>0</v>
      </c>
      <c r="N59" s="358"/>
    </row>
    <row r="60" spans="1:14" ht="15.75">
      <c r="A60" s="141"/>
      <c r="B60" s="624" t="s">
        <v>1281</v>
      </c>
      <c r="C60" s="343"/>
      <c r="D60" s="203" t="s">
        <v>2306</v>
      </c>
      <c r="E60" s="16">
        <f>'Тарифные ставки'!$B$4</f>
        <v>148.166</v>
      </c>
      <c r="F60" s="16">
        <v>2</v>
      </c>
      <c r="G60" s="16">
        <f t="shared" si="3"/>
        <v>296.332</v>
      </c>
      <c r="H60" s="610">
        <f>(G60+G61+G62)*'Тарифные ставки'!$B$13</f>
        <v>1867.4298000000001</v>
      </c>
      <c r="I60" s="638">
        <f>H60*'Тарифные ставки'!$B$14*'Тарифные ставки'!$B$15</f>
        <v>2263.3249176</v>
      </c>
      <c r="J60" s="636">
        <f>I60-I60/'Тарифные ставки'!$B$15</f>
        <v>377.2208195999999</v>
      </c>
      <c r="K60" s="376">
        <v>2002.8036600000003</v>
      </c>
      <c r="L60" s="376">
        <f>I60/K60*100-100</f>
        <v>13.007828116311686</v>
      </c>
      <c r="M60" s="3">
        <v>2374</v>
      </c>
      <c r="N60" s="358">
        <f>M60/I60*100</f>
        <v>104.88993345760353</v>
      </c>
    </row>
    <row r="61" spans="1:14" ht="15.75" hidden="1">
      <c r="A61" s="141"/>
      <c r="B61" s="624"/>
      <c r="C61" s="343"/>
      <c r="D61" s="203" t="s">
        <v>2308</v>
      </c>
      <c r="E61" s="16">
        <f>'Тарифные ставки'!$B$5</f>
        <v>137.4825</v>
      </c>
      <c r="F61" s="16">
        <v>2</v>
      </c>
      <c r="G61" s="16">
        <f t="shared" si="3"/>
        <v>274.965</v>
      </c>
      <c r="H61" s="610"/>
      <c r="I61" s="622"/>
      <c r="J61" s="625">
        <f>I61-I61/'Тарифные ставки'!$B$15</f>
        <v>0</v>
      </c>
      <c r="N61" s="358"/>
    </row>
    <row r="62" spans="1:14" ht="24" customHeight="1" hidden="1">
      <c r="A62" s="141"/>
      <c r="B62" s="14"/>
      <c r="C62" s="343"/>
      <c r="D62" s="205" t="s">
        <v>842</v>
      </c>
      <c r="E62" s="16">
        <f>'Тарифные ставки'!$B$10</f>
        <v>152.513</v>
      </c>
      <c r="F62" s="16">
        <v>1</v>
      </c>
      <c r="G62" s="16">
        <f>E62*F62</f>
        <v>152.513</v>
      </c>
      <c r="H62" s="621"/>
      <c r="I62" s="639"/>
      <c r="J62" s="637">
        <f>I62-I62/'Тарифные ставки'!$B$15</f>
        <v>0</v>
      </c>
      <c r="N62" s="358"/>
    </row>
    <row r="63" spans="1:14" ht="15.75">
      <c r="A63" s="141"/>
      <c r="B63" s="624" t="s">
        <v>1282</v>
      </c>
      <c r="C63" s="343"/>
      <c r="D63" s="203" t="s">
        <v>2306</v>
      </c>
      <c r="E63" s="16">
        <f>'Тарифные ставки'!$B$4</f>
        <v>148.166</v>
      </c>
      <c r="F63" s="16">
        <v>2.75</v>
      </c>
      <c r="G63" s="16">
        <f t="shared" si="3"/>
        <v>407.4565</v>
      </c>
      <c r="H63" s="610">
        <f>(G63+G64+G65)*'Тарифные ставки'!$B$13</f>
        <v>2498.8563555</v>
      </c>
      <c r="I63" s="638">
        <f>H63*'Тарифные ставки'!$B$14*'Тарифные ставки'!$B$15</f>
        <v>3028.613902866</v>
      </c>
      <c r="J63" s="636">
        <f>I63-I63/'Тарифные ставки'!$B$15</f>
        <v>504.768983811</v>
      </c>
      <c r="K63" s="376">
        <v>2664.748053</v>
      </c>
      <c r="L63" s="376">
        <f>I63/K63*100-100</f>
        <v>13.654793722669439</v>
      </c>
      <c r="M63" s="3">
        <v>3300</v>
      </c>
      <c r="N63" s="358">
        <f>M63/I63*100</f>
        <v>108.96073602769852</v>
      </c>
    </row>
    <row r="64" spans="1:14" ht="15.75" hidden="1">
      <c r="A64" s="141"/>
      <c r="B64" s="624"/>
      <c r="C64" s="343"/>
      <c r="D64" s="203" t="s">
        <v>2308</v>
      </c>
      <c r="E64" s="16">
        <f>'Тарифные ставки'!$B$5</f>
        <v>137.4825</v>
      </c>
      <c r="F64" s="16">
        <v>2.75</v>
      </c>
      <c r="G64" s="16">
        <f t="shared" si="3"/>
        <v>378.076875</v>
      </c>
      <c r="H64" s="610"/>
      <c r="I64" s="622"/>
      <c r="J64" s="625">
        <f>I64-I64/'Тарифные ставки'!$B$15</f>
        <v>0</v>
      </c>
      <c r="N64" s="358"/>
    </row>
    <row r="65" spans="1:14" ht="24" customHeight="1" hidden="1">
      <c r="A65" s="141"/>
      <c r="B65" s="14"/>
      <c r="C65" s="343"/>
      <c r="D65" s="205" t="s">
        <v>842</v>
      </c>
      <c r="E65" s="16">
        <f>'Тарифные ставки'!$B$10</f>
        <v>152.513</v>
      </c>
      <c r="F65" s="16">
        <v>1.2</v>
      </c>
      <c r="G65" s="16">
        <f>E65*F65</f>
        <v>183.0156</v>
      </c>
      <c r="H65" s="621"/>
      <c r="I65" s="639"/>
      <c r="J65" s="637">
        <f>I65-I65/'Тарифные ставки'!$B$15</f>
        <v>0</v>
      </c>
      <c r="N65" s="358"/>
    </row>
    <row r="66" spans="1:14" ht="15.75">
      <c r="A66" s="141"/>
      <c r="B66" s="624" t="s">
        <v>1283</v>
      </c>
      <c r="C66" s="343"/>
      <c r="D66" s="203" t="s">
        <v>2306</v>
      </c>
      <c r="E66" s="16">
        <f>'Тарифные ставки'!$B$4</f>
        <v>148.166</v>
      </c>
      <c r="F66" s="16">
        <v>3.6</v>
      </c>
      <c r="G66" s="16">
        <f t="shared" si="3"/>
        <v>533.3976</v>
      </c>
      <c r="H66" s="636">
        <f>(G66+G67+G68)*'Тарифные ставки'!$B$13</f>
        <v>3243.328578</v>
      </c>
      <c r="I66" s="638">
        <f>H66*'Тарифные ставки'!$B$14*'Тарифные ставки'!$B$15</f>
        <v>3930.914236536</v>
      </c>
      <c r="J66" s="636">
        <f>I66-I66/'Тарифные ставки'!$B$15</f>
        <v>655.1523727559997</v>
      </c>
      <c r="K66" s="376">
        <v>3452.2917660000007</v>
      </c>
      <c r="L66" s="376">
        <f>I66/K66*100-100</f>
        <v>13.863905572806075</v>
      </c>
      <c r="M66" s="3">
        <v>4333</v>
      </c>
      <c r="N66" s="358">
        <f>M66/I66*100</f>
        <v>110.22881038021136</v>
      </c>
    </row>
    <row r="67" spans="1:14" ht="15.75" hidden="1">
      <c r="A67" s="141"/>
      <c r="B67" s="624"/>
      <c r="C67" s="343"/>
      <c r="D67" s="203" t="s">
        <v>2308</v>
      </c>
      <c r="E67" s="16">
        <f>'Тарифные ставки'!$B$5</f>
        <v>137.4825</v>
      </c>
      <c r="F67" s="16">
        <v>3.6</v>
      </c>
      <c r="G67" s="16">
        <f t="shared" si="3"/>
        <v>494.93699999999995</v>
      </c>
      <c r="H67" s="625"/>
      <c r="I67" s="622"/>
      <c r="J67" s="625">
        <f>I67-I67/'Тарифные ставки'!$B$15</f>
        <v>0</v>
      </c>
      <c r="N67" s="358"/>
    </row>
    <row r="68" spans="1:14" ht="24" customHeight="1" hidden="1">
      <c r="A68" s="141"/>
      <c r="B68" s="14"/>
      <c r="C68" s="343"/>
      <c r="D68" s="205" t="s">
        <v>842</v>
      </c>
      <c r="E68" s="16">
        <f>'Тарифные ставки'!$B$10</f>
        <v>152.513</v>
      </c>
      <c r="F68" s="16">
        <v>1.5</v>
      </c>
      <c r="G68" s="16">
        <f>E68*F68</f>
        <v>228.7695</v>
      </c>
      <c r="H68" s="637"/>
      <c r="I68" s="639"/>
      <c r="J68" s="637">
        <f>I68-I68/'Тарифные ставки'!$B$15</f>
        <v>0</v>
      </c>
      <c r="N68" s="358"/>
    </row>
    <row r="69" spans="1:14" ht="15.75">
      <c r="A69" s="141"/>
      <c r="B69" s="624" t="s">
        <v>1293</v>
      </c>
      <c r="C69" s="343"/>
      <c r="D69" s="203" t="s">
        <v>2306</v>
      </c>
      <c r="E69" s="16">
        <f>'Тарифные ставки'!$B$4</f>
        <v>148.166</v>
      </c>
      <c r="F69" s="16">
        <v>4</v>
      </c>
      <c r="G69" s="16">
        <f t="shared" si="3"/>
        <v>592.664</v>
      </c>
      <c r="H69" s="636">
        <f>(G69+G70+G71)*'Тарифные ставки'!$B$13</f>
        <v>4956.9372299999995</v>
      </c>
      <c r="I69" s="638">
        <f>H69*'Тарифные ставки'!$B$14*'Тарифные ставки'!$B$15</f>
        <v>6007.80792276</v>
      </c>
      <c r="J69" s="636">
        <f>I69-I69/'Тарифные ставки'!$B$15</f>
        <v>1001.3013204600002</v>
      </c>
      <c r="K69" s="376">
        <v>5189.533469999999</v>
      </c>
      <c r="L69" s="376">
        <f>I69/K69*100-100</f>
        <v>15.767784474083001</v>
      </c>
      <c r="M69" s="3">
        <v>6692</v>
      </c>
      <c r="N69" s="358">
        <f>M69/I69*100</f>
        <v>111.3883813536715</v>
      </c>
    </row>
    <row r="70" spans="1:14" ht="15.75" hidden="1">
      <c r="A70" s="141"/>
      <c r="B70" s="624"/>
      <c r="C70" s="343"/>
      <c r="D70" s="203" t="s">
        <v>2308</v>
      </c>
      <c r="E70" s="16">
        <f>'Тарифные ставки'!$B$5</f>
        <v>137.4825</v>
      </c>
      <c r="F70" s="16">
        <v>8</v>
      </c>
      <c r="G70" s="16">
        <f t="shared" si="3"/>
        <v>1099.86</v>
      </c>
      <c r="H70" s="625"/>
      <c r="I70" s="622"/>
      <c r="J70" s="625">
        <f>I70-I70/'Тарифные ставки'!$B$15</f>
        <v>0</v>
      </c>
      <c r="N70" s="358"/>
    </row>
    <row r="71" spans="1:14" ht="24" customHeight="1" hidden="1">
      <c r="A71" s="141"/>
      <c r="B71" s="14"/>
      <c r="C71" s="343"/>
      <c r="D71" s="205" t="s">
        <v>842</v>
      </c>
      <c r="E71" s="16">
        <f>'Тарифные ставки'!$B$10</f>
        <v>152.513</v>
      </c>
      <c r="F71" s="16">
        <v>1.5</v>
      </c>
      <c r="G71" s="16">
        <f>E71*F71</f>
        <v>228.7695</v>
      </c>
      <c r="H71" s="637"/>
      <c r="I71" s="639"/>
      <c r="J71" s="637">
        <f>I71-I71/'Тарифные ставки'!$B$15</f>
        <v>0</v>
      </c>
      <c r="N71" s="358"/>
    </row>
    <row r="72" spans="1:14" ht="15.75" customHeight="1">
      <c r="A72" s="316"/>
      <c r="B72" s="624" t="s">
        <v>1294</v>
      </c>
      <c r="C72" s="343"/>
      <c r="D72" s="203" t="s">
        <v>2306</v>
      </c>
      <c r="E72" s="16">
        <f>'Тарифные ставки'!$B$4</f>
        <v>148.166</v>
      </c>
      <c r="F72" s="16">
        <v>4.5</v>
      </c>
      <c r="G72" s="16">
        <f t="shared" si="3"/>
        <v>666.747</v>
      </c>
      <c r="H72" s="636">
        <f>(G72+G73+G74)*'Тарифные ставки'!$B$13</f>
        <v>5699.51799</v>
      </c>
      <c r="I72" s="638">
        <f>H72*'Тарифные ставки'!$B$14*'Тарифные ставки'!$B$15</f>
        <v>6907.81580388</v>
      </c>
      <c r="J72" s="636">
        <f>I72-I72/'Тарифные ставки'!$B$15</f>
        <v>1151.3026339799999</v>
      </c>
      <c r="N72" s="358"/>
    </row>
    <row r="73" spans="1:14" ht="15.75" customHeight="1" hidden="1">
      <c r="A73" s="316"/>
      <c r="B73" s="624"/>
      <c r="C73" s="343"/>
      <c r="D73" s="203" t="s">
        <v>2308</v>
      </c>
      <c r="E73" s="16">
        <f>'Тарифные ставки'!$B$5</f>
        <v>137.4825</v>
      </c>
      <c r="F73" s="16">
        <v>9</v>
      </c>
      <c r="G73" s="16">
        <f t="shared" si="3"/>
        <v>1237.3425</v>
      </c>
      <c r="H73" s="625"/>
      <c r="I73" s="622"/>
      <c r="J73" s="625">
        <f>I73-I73/'Тарифные ставки'!$B$15</f>
        <v>0</v>
      </c>
      <c r="N73" s="358"/>
    </row>
    <row r="74" spans="1:14" ht="24" customHeight="1" hidden="1">
      <c r="A74" s="141"/>
      <c r="B74" s="15"/>
      <c r="C74" s="451"/>
      <c r="D74" s="205" t="s">
        <v>842</v>
      </c>
      <c r="E74" s="16">
        <f>'Тарифные ставки'!$B$10</f>
        <v>152.513</v>
      </c>
      <c r="F74" s="16">
        <v>2</v>
      </c>
      <c r="G74" s="16">
        <f>E74*F74</f>
        <v>305.026</v>
      </c>
      <c r="H74" s="637"/>
      <c r="I74" s="639"/>
      <c r="J74" s="637">
        <f>I74-I74/'Тарифные ставки'!$B$15</f>
        <v>0</v>
      </c>
      <c r="N74" s="358"/>
    </row>
    <row r="75" spans="1:14" ht="31.5">
      <c r="A75" s="317"/>
      <c r="B75" s="317" t="s">
        <v>1295</v>
      </c>
      <c r="C75" s="331"/>
      <c r="D75" s="331"/>
      <c r="E75" s="331"/>
      <c r="F75" s="331"/>
      <c r="G75" s="331"/>
      <c r="H75" s="416"/>
      <c r="I75" s="416"/>
      <c r="J75" s="416"/>
      <c r="N75" s="358"/>
    </row>
    <row r="76" spans="1:14" ht="15.75">
      <c r="A76" s="356" t="s">
        <v>971</v>
      </c>
      <c r="B76" s="194" t="s">
        <v>536</v>
      </c>
      <c r="C76" s="368"/>
      <c r="D76" s="368"/>
      <c r="E76" s="368"/>
      <c r="F76" s="368"/>
      <c r="G76" s="368"/>
      <c r="H76" s="450"/>
      <c r="I76" s="450"/>
      <c r="J76" s="450"/>
      <c r="N76" s="358"/>
    </row>
    <row r="77" spans="1:14" ht="15.75">
      <c r="A77" s="141"/>
      <c r="B77" s="624" t="s">
        <v>1291</v>
      </c>
      <c r="C77" s="343" t="s">
        <v>967</v>
      </c>
      <c r="D77" s="203" t="s">
        <v>2306</v>
      </c>
      <c r="E77" s="16">
        <f>'Тарифные ставки'!$B$4</f>
        <v>148.166</v>
      </c>
      <c r="F77" s="16">
        <v>0.9</v>
      </c>
      <c r="G77" s="16">
        <f aca="true" t="shared" si="4" ref="G77:G82">E77*F77</f>
        <v>133.3494</v>
      </c>
      <c r="H77" s="610">
        <f>(G77+G78+G79)*'Тарифные ставки'!$B$13</f>
        <v>820.669233</v>
      </c>
      <c r="I77" s="638">
        <f>H77*'Тарифные ставки'!$B$14*'Тарифные ставки'!$B$15</f>
        <v>994.6511103959999</v>
      </c>
      <c r="J77" s="636">
        <f>I77-I77/'Тарифные ставки'!$B$15</f>
        <v>165.77518506599995</v>
      </c>
      <c r="K77" s="376">
        <v>875.8025100000001</v>
      </c>
      <c r="L77" s="376">
        <f>I77/K77*100-100</f>
        <v>13.570251174091723</v>
      </c>
      <c r="M77" s="3">
        <v>1866</v>
      </c>
      <c r="N77" s="358">
        <f>M77/I77*100</f>
        <v>187.60347025170367</v>
      </c>
    </row>
    <row r="78" spans="1:14" ht="15.75" hidden="1">
      <c r="A78" s="141"/>
      <c r="B78" s="624"/>
      <c r="C78" s="343"/>
      <c r="D78" s="203" t="s">
        <v>2308</v>
      </c>
      <c r="E78" s="16">
        <f>'Тарифные ставки'!$B$5</f>
        <v>137.4825</v>
      </c>
      <c r="F78" s="16">
        <v>0.9</v>
      </c>
      <c r="G78" s="16">
        <f t="shared" si="4"/>
        <v>123.73424999999999</v>
      </c>
      <c r="H78" s="610"/>
      <c r="I78" s="622"/>
      <c r="J78" s="625">
        <f>I78-I78/'Тарифные ставки'!$B$15</f>
        <v>0</v>
      </c>
      <c r="N78" s="358"/>
    </row>
    <row r="79" spans="1:14" ht="24" customHeight="1" hidden="1">
      <c r="A79" s="141"/>
      <c r="B79" s="14"/>
      <c r="C79" s="343"/>
      <c r="D79" s="205" t="s">
        <v>842</v>
      </c>
      <c r="E79" s="16">
        <f>'Тарифные ставки'!$B$10</f>
        <v>152.513</v>
      </c>
      <c r="F79" s="16">
        <v>0.4</v>
      </c>
      <c r="G79" s="16">
        <f t="shared" si="4"/>
        <v>61.0052</v>
      </c>
      <c r="H79" s="621"/>
      <c r="I79" s="639"/>
      <c r="J79" s="637">
        <f>I79-I79/'Тарифные ставки'!$B$15</f>
        <v>0</v>
      </c>
      <c r="N79" s="358"/>
    </row>
    <row r="80" spans="1:14" ht="15.75">
      <c r="A80" s="141"/>
      <c r="B80" s="640" t="s">
        <v>1292</v>
      </c>
      <c r="C80" s="445"/>
      <c r="D80" s="203" t="s">
        <v>2306</v>
      </c>
      <c r="E80" s="16">
        <f>'Тарифные ставки'!$B$4</f>
        <v>148.166</v>
      </c>
      <c r="F80" s="299">
        <v>1.44</v>
      </c>
      <c r="G80" s="299">
        <f t="shared" si="4"/>
        <v>213.35904</v>
      </c>
      <c r="H80" s="610">
        <f>(G80+G81+G82)*'Тарифные ставки'!$B$13</f>
        <v>1336.6797852</v>
      </c>
      <c r="I80" s="638">
        <f>H80*'Тарифные ставки'!$B$14*'Тарифные ставки'!$B$15</f>
        <v>1620.0558996624</v>
      </c>
      <c r="J80" s="636">
        <f>I80-I80/'Тарифные ставки'!$B$15</f>
        <v>270.0093166104</v>
      </c>
      <c r="K80" s="376">
        <v>1431.8349804000002</v>
      </c>
      <c r="L80" s="376">
        <f>I80/K80*100-100</f>
        <v>13.145433785240954</v>
      </c>
      <c r="M80" s="3">
        <v>2173</v>
      </c>
      <c r="N80" s="358">
        <f>M80/I80*100</f>
        <v>134.1311741436099</v>
      </c>
    </row>
    <row r="81" spans="1:14" ht="15.75" hidden="1">
      <c r="A81" s="355"/>
      <c r="B81" s="640"/>
      <c r="C81" s="445"/>
      <c r="D81" s="203" t="s">
        <v>2308</v>
      </c>
      <c r="E81" s="16">
        <f>'Тарифные ставки'!$B$5</f>
        <v>137.4825</v>
      </c>
      <c r="F81" s="299">
        <v>1.44</v>
      </c>
      <c r="G81" s="299">
        <f t="shared" si="4"/>
        <v>197.9748</v>
      </c>
      <c r="H81" s="610"/>
      <c r="I81" s="622"/>
      <c r="J81" s="625">
        <f>I81-I81/'Тарифные ставки'!$B$15</f>
        <v>0</v>
      </c>
      <c r="N81" s="358"/>
    </row>
    <row r="82" spans="1:14" ht="24" customHeight="1" hidden="1">
      <c r="A82" s="300"/>
      <c r="B82" s="26"/>
      <c r="C82" s="438"/>
      <c r="D82" s="207" t="s">
        <v>842</v>
      </c>
      <c r="E82" s="16">
        <f>'Тарифные ставки'!$B$10</f>
        <v>152.513</v>
      </c>
      <c r="F82" s="28">
        <v>0.7</v>
      </c>
      <c r="G82" s="28">
        <f t="shared" si="4"/>
        <v>106.7591</v>
      </c>
      <c r="H82" s="621"/>
      <c r="I82" s="639"/>
      <c r="J82" s="637">
        <f>I82-I82/'Тарифные ставки'!$B$15</f>
        <v>0</v>
      </c>
      <c r="N82" s="358"/>
    </row>
    <row r="83" spans="1:14" ht="63" hidden="1">
      <c r="A83" s="328" t="s">
        <v>83</v>
      </c>
      <c r="B83" s="313" t="s">
        <v>82</v>
      </c>
      <c r="C83" s="313" t="s">
        <v>77</v>
      </c>
      <c r="D83" s="313" t="s">
        <v>81</v>
      </c>
      <c r="E83" s="314" t="s">
        <v>85</v>
      </c>
      <c r="F83" s="314" t="s">
        <v>78</v>
      </c>
      <c r="G83" s="314" t="s">
        <v>79</v>
      </c>
      <c r="H83" s="393" t="s">
        <v>80</v>
      </c>
      <c r="I83" s="394" t="s">
        <v>843</v>
      </c>
      <c r="J83" s="393"/>
      <c r="N83" s="358"/>
    </row>
    <row r="84" spans="1:14" ht="31.5">
      <c r="A84" s="356" t="s">
        <v>972</v>
      </c>
      <c r="B84" s="195" t="s">
        <v>537</v>
      </c>
      <c r="C84" s="368" t="s">
        <v>967</v>
      </c>
      <c r="D84" s="368"/>
      <c r="E84" s="368"/>
      <c r="F84" s="368"/>
      <c r="G84" s="368"/>
      <c r="H84" s="450"/>
      <c r="I84" s="450"/>
      <c r="J84" s="450"/>
      <c r="N84" s="358"/>
    </row>
    <row r="85" spans="1:14" ht="15.75">
      <c r="A85" s="141"/>
      <c r="B85" s="624" t="s">
        <v>1291</v>
      </c>
      <c r="C85" s="343"/>
      <c r="D85" s="203" t="s">
        <v>2306</v>
      </c>
      <c r="E85" s="16">
        <f>'Тарифные ставки'!$B$4</f>
        <v>148.166</v>
      </c>
      <c r="F85" s="16">
        <v>1.1</v>
      </c>
      <c r="G85" s="16">
        <f aca="true" t="shared" si="5" ref="G85:G90">E85*F85</f>
        <v>162.98260000000002</v>
      </c>
      <c r="H85" s="610">
        <f>(G85+G86+G87)*'Тарифные ставки'!$B$13</f>
        <v>1007.4122130000001</v>
      </c>
      <c r="I85" s="638">
        <f>H85*'Тарифные ставки'!$B$14*'Тарифные ставки'!$B$15</f>
        <v>1220.983602156</v>
      </c>
      <c r="J85" s="636">
        <f>I85-I85/'Тарифные ставки'!$B$15</f>
        <v>203.49726702599992</v>
      </c>
      <c r="K85" s="376">
        <v>1076.0828760000002</v>
      </c>
      <c r="L85" s="376">
        <f>I85/K85*100-100</f>
        <v>13.46557308807131</v>
      </c>
      <c r="M85" s="3">
        <v>1871</v>
      </c>
      <c r="N85" s="358">
        <f>M85/I85*100</f>
        <v>153.23711118611322</v>
      </c>
    </row>
    <row r="86" spans="1:14" ht="15.75" hidden="1">
      <c r="A86" s="141"/>
      <c r="B86" s="624"/>
      <c r="C86" s="343"/>
      <c r="D86" s="203" t="s">
        <v>2308</v>
      </c>
      <c r="E86" s="16">
        <f>'Тарифные ставки'!$B$5</f>
        <v>137.4825</v>
      </c>
      <c r="F86" s="16">
        <v>1.1</v>
      </c>
      <c r="G86" s="16">
        <f t="shared" si="5"/>
        <v>151.23075</v>
      </c>
      <c r="H86" s="610"/>
      <c r="I86" s="622"/>
      <c r="J86" s="625">
        <f>I86-I86/'Тарифные ставки'!$B$15</f>
        <v>0</v>
      </c>
      <c r="N86" s="358"/>
    </row>
    <row r="87" spans="1:14" ht="24" customHeight="1" hidden="1">
      <c r="A87" s="141"/>
      <c r="B87" s="14"/>
      <c r="C87" s="343"/>
      <c r="D87" s="205" t="s">
        <v>842</v>
      </c>
      <c r="E87" s="16">
        <f>'Тарифные ставки'!$B$10</f>
        <v>152.513</v>
      </c>
      <c r="F87" s="16">
        <v>0.5</v>
      </c>
      <c r="G87" s="16">
        <f t="shared" si="5"/>
        <v>76.2565</v>
      </c>
      <c r="H87" s="621"/>
      <c r="I87" s="639"/>
      <c r="J87" s="637">
        <f>I87-I87/'Тарифные ставки'!$B$15</f>
        <v>0</v>
      </c>
      <c r="N87" s="358"/>
    </row>
    <row r="88" spans="1:14" ht="15.75">
      <c r="A88" s="355"/>
      <c r="B88" s="640" t="s">
        <v>1292</v>
      </c>
      <c r="C88" s="445"/>
      <c r="D88" s="209" t="s">
        <v>2306</v>
      </c>
      <c r="E88" s="16">
        <f>'Тарифные ставки'!$B$4</f>
        <v>148.166</v>
      </c>
      <c r="F88" s="299">
        <v>1.5</v>
      </c>
      <c r="G88" s="299">
        <f t="shared" si="5"/>
        <v>222.249</v>
      </c>
      <c r="H88" s="610">
        <f>(G88+G89+G90)*'Тарифные ставки'!$B$13</f>
        <v>1380.898173</v>
      </c>
      <c r="I88" s="638">
        <f>H88*'Тарифные ставки'!$B$14*'Тарифные ставки'!$B$15</f>
        <v>1673.6485856759998</v>
      </c>
      <c r="J88" s="636">
        <f>I88-I88/'Тарифные ставки'!$B$15</f>
        <v>278.94143094599985</v>
      </c>
      <c r="K88" s="376">
        <v>1476.643608</v>
      </c>
      <c r="L88" s="376">
        <f>I88/K88*100-100</f>
        <v>13.341403207157597</v>
      </c>
      <c r="M88" s="3">
        <v>2173</v>
      </c>
      <c r="N88" s="358">
        <f>M88/I88*100</f>
        <v>129.83609693203954</v>
      </c>
    </row>
    <row r="89" spans="1:14" ht="15.75" hidden="1">
      <c r="A89" s="355"/>
      <c r="B89" s="640"/>
      <c r="C89" s="445"/>
      <c r="D89" s="209" t="s">
        <v>2308</v>
      </c>
      <c r="E89" s="16">
        <f>'Тарифные ставки'!$B$5</f>
        <v>137.4825</v>
      </c>
      <c r="F89" s="299">
        <v>1.5</v>
      </c>
      <c r="G89" s="299">
        <f t="shared" si="5"/>
        <v>206.22375</v>
      </c>
      <c r="H89" s="610"/>
      <c r="I89" s="622"/>
      <c r="J89" s="625">
        <f>I89-I89/'Тарифные ставки'!$B$15</f>
        <v>0</v>
      </c>
      <c r="N89" s="358"/>
    </row>
    <row r="90" spans="1:14" ht="24" customHeight="1" hidden="1">
      <c r="A90" s="300"/>
      <c r="B90" s="14"/>
      <c r="C90" s="343"/>
      <c r="D90" s="205" t="s">
        <v>842</v>
      </c>
      <c r="E90" s="16">
        <f>'Тарифные ставки'!$B$10</f>
        <v>152.513</v>
      </c>
      <c r="F90" s="16">
        <v>0.7</v>
      </c>
      <c r="G90" s="16">
        <f t="shared" si="5"/>
        <v>106.7591</v>
      </c>
      <c r="H90" s="621"/>
      <c r="I90" s="639"/>
      <c r="J90" s="637">
        <f>I90-I90/'Тарифные ставки'!$B$15</f>
        <v>0</v>
      </c>
      <c r="N90" s="358"/>
    </row>
    <row r="91" spans="1:14" ht="15.75">
      <c r="A91" s="583" t="s">
        <v>973</v>
      </c>
      <c r="B91" s="11" t="s">
        <v>974</v>
      </c>
      <c r="C91" s="368" t="s">
        <v>975</v>
      </c>
      <c r="D91" s="368"/>
      <c r="E91" s="368"/>
      <c r="F91" s="368"/>
      <c r="G91" s="368"/>
      <c r="H91" s="450"/>
      <c r="I91" s="450"/>
      <c r="J91" s="450"/>
      <c r="N91" s="358"/>
    </row>
    <row r="92" spans="1:14" ht="15.75">
      <c r="A92" s="584"/>
      <c r="B92" s="624" t="s">
        <v>1296</v>
      </c>
      <c r="C92" s="343"/>
      <c r="D92" s="203" t="s">
        <v>2306</v>
      </c>
      <c r="E92" s="16">
        <f>'Тарифные ставки'!$B$4</f>
        <v>148.166</v>
      </c>
      <c r="F92" s="16">
        <v>0.49</v>
      </c>
      <c r="G92" s="16">
        <f aca="true" t="shared" si="6" ref="G92:G105">E92*F92</f>
        <v>72.60134</v>
      </c>
      <c r="H92" s="610">
        <f>(G92+G93+G94)*'Тарифные ставки'!$B$13</f>
        <v>439.8135417</v>
      </c>
      <c r="I92" s="638">
        <f>H92*'Тарифные ставки'!$B$14*'Тарифные ставки'!$B$15</f>
        <v>533.0540125404</v>
      </c>
      <c r="J92" s="636">
        <f>I92-I92/'Тарифные ставки'!$B$15</f>
        <v>88.84233542339996</v>
      </c>
      <c r="K92" s="376">
        <v>467.7736734</v>
      </c>
      <c r="L92" s="376">
        <f>I92/K92*100-100</f>
        <v>13.95553936712848</v>
      </c>
      <c r="M92" s="3">
        <v>552</v>
      </c>
      <c r="N92" s="358">
        <f>M92/I92*100</f>
        <v>103.55423409521079</v>
      </c>
    </row>
    <row r="93" spans="1:14" ht="15.75" hidden="1">
      <c r="A93" s="584"/>
      <c r="B93" s="624"/>
      <c r="C93" s="343"/>
      <c r="D93" s="203" t="s">
        <v>2308</v>
      </c>
      <c r="E93" s="16">
        <f>'Тарифные ставки'!$B$5</f>
        <v>137.4825</v>
      </c>
      <c r="F93" s="16">
        <v>0.49</v>
      </c>
      <c r="G93" s="16">
        <f t="shared" si="6"/>
        <v>67.36642499999999</v>
      </c>
      <c r="H93" s="610"/>
      <c r="I93" s="622"/>
      <c r="J93" s="625">
        <f>I93-I93/'Тарифные ставки'!$B$15</f>
        <v>0</v>
      </c>
      <c r="N93" s="358"/>
    </row>
    <row r="94" spans="1:14" ht="24" customHeight="1" hidden="1">
      <c r="A94" s="584"/>
      <c r="B94" s="14"/>
      <c r="C94" s="343"/>
      <c r="D94" s="205" t="s">
        <v>842</v>
      </c>
      <c r="E94" s="16">
        <f>'Тарифные ставки'!$B$10</f>
        <v>152.513</v>
      </c>
      <c r="F94" s="16">
        <v>0.2</v>
      </c>
      <c r="G94" s="16">
        <f>E94*F94</f>
        <v>30.5026</v>
      </c>
      <c r="H94" s="621"/>
      <c r="I94" s="639"/>
      <c r="J94" s="637">
        <f>I94-I94/'Тарифные ставки'!$B$15</f>
        <v>0</v>
      </c>
      <c r="N94" s="358"/>
    </row>
    <row r="95" spans="1:14" ht="15.75">
      <c r="A95" s="584"/>
      <c r="B95" s="624" t="s">
        <v>1281</v>
      </c>
      <c r="C95" s="343"/>
      <c r="D95" s="203" t="s">
        <v>2306</v>
      </c>
      <c r="E95" s="16">
        <f>'Тарифные ставки'!$B$4</f>
        <v>148.166</v>
      </c>
      <c r="F95" s="16">
        <v>0.64</v>
      </c>
      <c r="G95" s="16">
        <f t="shared" si="6"/>
        <v>94.82624</v>
      </c>
      <c r="H95" s="610">
        <f>(G95+G96+G97)*'Тарифные ставки'!$B$13</f>
        <v>589.7078652</v>
      </c>
      <c r="I95" s="638">
        <f>H95*'Тарифные ставки'!$B$14*'Тарифные ставки'!$B$15</f>
        <v>714.7259326224</v>
      </c>
      <c r="J95" s="636">
        <f>I95-I95/'Тарифные ставки'!$B$15</f>
        <v>119.1209887704</v>
      </c>
      <c r="K95" s="376">
        <v>630.7135164000001</v>
      </c>
      <c r="L95" s="376">
        <f>I95/K95*100-100</f>
        <v>13.32021813991362</v>
      </c>
      <c r="M95" s="3">
        <v>750</v>
      </c>
      <c r="N95" s="358">
        <f>M95/I95*100</f>
        <v>104.93532776237402</v>
      </c>
    </row>
    <row r="96" spans="1:14" ht="15.75" hidden="1">
      <c r="A96" s="584"/>
      <c r="B96" s="624"/>
      <c r="C96" s="343"/>
      <c r="D96" s="203" t="s">
        <v>2308</v>
      </c>
      <c r="E96" s="16">
        <f>'Тарифные ставки'!$B$5</f>
        <v>137.4825</v>
      </c>
      <c r="F96" s="16">
        <v>0.64</v>
      </c>
      <c r="G96" s="16">
        <f t="shared" si="6"/>
        <v>87.9888</v>
      </c>
      <c r="H96" s="610"/>
      <c r="I96" s="622"/>
      <c r="J96" s="625">
        <f>I96-I96/'Тарифные ставки'!$B$15</f>
        <v>0</v>
      </c>
      <c r="N96" s="358"/>
    </row>
    <row r="97" spans="1:14" ht="24" customHeight="1" hidden="1">
      <c r="A97" s="584"/>
      <c r="B97" s="14"/>
      <c r="C97" s="343"/>
      <c r="D97" s="205" t="s">
        <v>842</v>
      </c>
      <c r="E97" s="16">
        <f>'Тарифные ставки'!$B$10</f>
        <v>152.513</v>
      </c>
      <c r="F97" s="16">
        <v>0.3</v>
      </c>
      <c r="G97" s="16">
        <f>E97*F97</f>
        <v>45.7539</v>
      </c>
      <c r="H97" s="621"/>
      <c r="I97" s="639"/>
      <c r="J97" s="637">
        <f>I97-I97/'Тарифные ставки'!$B$15</f>
        <v>0</v>
      </c>
      <c r="N97" s="358"/>
    </row>
    <row r="98" spans="1:14" ht="15.75">
      <c r="A98" s="300"/>
      <c r="B98" s="624" t="s">
        <v>1282</v>
      </c>
      <c r="C98" s="343"/>
      <c r="D98" s="203" t="s">
        <v>2306</v>
      </c>
      <c r="E98" s="16">
        <f>'Тарифные ставки'!$B$4</f>
        <v>148.166</v>
      </c>
      <c r="F98" s="16">
        <v>0.75</v>
      </c>
      <c r="G98" s="16">
        <f t="shared" si="6"/>
        <v>111.1245</v>
      </c>
      <c r="H98" s="636">
        <f>(G98+G99+G100)*'Тарифные ставки'!$B$13</f>
        <v>670.7749095</v>
      </c>
      <c r="I98" s="638">
        <f>H98*'Тарифные ставки'!$B$14*'Тарифные ставки'!$B$15</f>
        <v>812.9791903140001</v>
      </c>
      <c r="J98" s="636">
        <f>I98-I98/'Тарифные ставки'!$B$15</f>
        <v>135.49653171900002</v>
      </c>
      <c r="K98" s="376">
        <v>712.8626670000001</v>
      </c>
      <c r="L98" s="376">
        <f>I98/K98*100-100</f>
        <v>14.044293234674328</v>
      </c>
      <c r="M98" s="3">
        <v>1199</v>
      </c>
      <c r="N98" s="358">
        <f>M98/I98*100</f>
        <v>147.4822497654467</v>
      </c>
    </row>
    <row r="99" spans="1:14" ht="15.75" hidden="1">
      <c r="A99" s="300"/>
      <c r="B99" s="624"/>
      <c r="C99" s="343"/>
      <c r="D99" s="203" t="s">
        <v>2308</v>
      </c>
      <c r="E99" s="16">
        <f>'Тарифные ставки'!$B$5</f>
        <v>137.4825</v>
      </c>
      <c r="F99" s="16">
        <v>0.75</v>
      </c>
      <c r="G99" s="16">
        <f t="shared" si="6"/>
        <v>103.111875</v>
      </c>
      <c r="H99" s="625"/>
      <c r="I99" s="622"/>
      <c r="J99" s="625">
        <f>I99-I99/'Тарифные ставки'!$B$15</f>
        <v>0</v>
      </c>
      <c r="N99" s="358"/>
    </row>
    <row r="100" spans="1:14" ht="24" customHeight="1" hidden="1">
      <c r="A100" s="141"/>
      <c r="B100" s="14"/>
      <c r="C100" s="343"/>
      <c r="D100" s="205" t="s">
        <v>842</v>
      </c>
      <c r="E100" s="16">
        <f>'Тарифные ставки'!$B$10</f>
        <v>152.513</v>
      </c>
      <c r="F100" s="16">
        <v>0.3</v>
      </c>
      <c r="G100" s="16">
        <f>E100*F100</f>
        <v>45.7539</v>
      </c>
      <c r="H100" s="637"/>
      <c r="I100" s="639"/>
      <c r="J100" s="637">
        <f>I100-I100/'Тарифные ставки'!$B$15</f>
        <v>0</v>
      </c>
      <c r="N100" s="358"/>
    </row>
    <row r="101" spans="1:14" s="22" customFormat="1" ht="15.75" customHeight="1" hidden="1">
      <c r="A101" s="316"/>
      <c r="B101" s="624" t="s">
        <v>1283</v>
      </c>
      <c r="C101" s="343"/>
      <c r="D101" s="203" t="s">
        <v>2306</v>
      </c>
      <c r="E101" s="29">
        <v>128.84</v>
      </c>
      <c r="F101" s="16">
        <v>1.2</v>
      </c>
      <c r="G101" s="16">
        <f t="shared" si="6"/>
        <v>154.608</v>
      </c>
      <c r="H101" s="625"/>
      <c r="I101" s="625"/>
      <c r="J101" s="625"/>
      <c r="K101" s="389"/>
      <c r="L101" s="376"/>
      <c r="N101" s="358"/>
    </row>
    <row r="102" spans="1:14" s="22" customFormat="1" ht="15.75" customHeight="1" hidden="1">
      <c r="A102" s="316"/>
      <c r="B102" s="624"/>
      <c r="C102" s="343"/>
      <c r="D102" s="203" t="s">
        <v>2308</v>
      </c>
      <c r="E102" s="16">
        <v>119.55</v>
      </c>
      <c r="F102" s="16">
        <v>1.2</v>
      </c>
      <c r="G102" s="16">
        <f t="shared" si="6"/>
        <v>143.45999999999998</v>
      </c>
      <c r="H102" s="625"/>
      <c r="I102" s="625"/>
      <c r="J102" s="625"/>
      <c r="K102" s="389"/>
      <c r="L102" s="376"/>
      <c r="N102" s="358"/>
    </row>
    <row r="103" spans="1:14" s="22" customFormat="1" ht="24" customHeight="1" hidden="1">
      <c r="A103" s="316"/>
      <c r="B103" s="14"/>
      <c r="C103" s="343"/>
      <c r="D103" s="205" t="s">
        <v>842</v>
      </c>
      <c r="E103" s="28">
        <v>132.62</v>
      </c>
      <c r="F103" s="16">
        <v>0.6</v>
      </c>
      <c r="G103" s="16">
        <f>E103*F103</f>
        <v>79.572</v>
      </c>
      <c r="H103" s="626"/>
      <c r="I103" s="626"/>
      <c r="J103" s="626"/>
      <c r="K103" s="389"/>
      <c r="L103" s="376"/>
      <c r="N103" s="358"/>
    </row>
    <row r="104" spans="1:14" s="22" customFormat="1" ht="15.75" customHeight="1" hidden="1">
      <c r="A104" s="316"/>
      <c r="B104" s="640" t="s">
        <v>1297</v>
      </c>
      <c r="C104" s="445"/>
      <c r="D104" s="209" t="s">
        <v>2306</v>
      </c>
      <c r="E104" s="29">
        <v>128.84</v>
      </c>
      <c r="F104" s="299">
        <v>2.08</v>
      </c>
      <c r="G104" s="299">
        <f t="shared" si="6"/>
        <v>267.98720000000003</v>
      </c>
      <c r="H104" s="625"/>
      <c r="I104" s="625"/>
      <c r="J104" s="625"/>
      <c r="K104" s="389"/>
      <c r="L104" s="376"/>
      <c r="N104" s="358"/>
    </row>
    <row r="105" spans="1:14" s="27" customFormat="1" ht="15.75" customHeight="1" hidden="1">
      <c r="A105" s="319"/>
      <c r="B105" s="641"/>
      <c r="C105" s="433"/>
      <c r="D105" s="318" t="s">
        <v>2308</v>
      </c>
      <c r="E105" s="16">
        <v>119.55</v>
      </c>
      <c r="F105" s="327">
        <v>4.16</v>
      </c>
      <c r="G105" s="327">
        <f t="shared" si="6"/>
        <v>497.32800000000003</v>
      </c>
      <c r="H105" s="625"/>
      <c r="I105" s="625"/>
      <c r="J105" s="625"/>
      <c r="K105" s="390"/>
      <c r="L105" s="376"/>
      <c r="N105" s="358"/>
    </row>
    <row r="106" spans="1:14" ht="24" customHeight="1" hidden="1">
      <c r="A106" s="300"/>
      <c r="B106" s="14"/>
      <c r="C106" s="343"/>
      <c r="D106" s="205" t="s">
        <v>842</v>
      </c>
      <c r="E106" s="28">
        <v>132.62</v>
      </c>
      <c r="F106" s="16">
        <v>1</v>
      </c>
      <c r="G106" s="16">
        <f>E106*F106</f>
        <v>132.62</v>
      </c>
      <c r="H106" s="626"/>
      <c r="I106" s="626"/>
      <c r="J106" s="626"/>
      <c r="N106" s="358"/>
    </row>
    <row r="107" spans="1:14" ht="31.5">
      <c r="A107" s="141" t="s">
        <v>976</v>
      </c>
      <c r="B107" s="11" t="s">
        <v>1298</v>
      </c>
      <c r="C107" s="368" t="s">
        <v>977</v>
      </c>
      <c r="D107" s="368"/>
      <c r="E107" s="368"/>
      <c r="F107" s="368"/>
      <c r="G107" s="368"/>
      <c r="H107" s="450"/>
      <c r="I107" s="450"/>
      <c r="J107" s="450"/>
      <c r="N107" s="358"/>
    </row>
    <row r="108" spans="1:14" ht="15.75">
      <c r="A108" s="141"/>
      <c r="B108" s="624" t="s">
        <v>1299</v>
      </c>
      <c r="C108" s="343"/>
      <c r="D108" s="203" t="s">
        <v>2306</v>
      </c>
      <c r="E108" s="16">
        <f>'Тарифные ставки'!$B$4</f>
        <v>148.166</v>
      </c>
      <c r="F108" s="16">
        <v>0.68</v>
      </c>
      <c r="G108" s="16">
        <f aca="true" t="shared" si="7" ref="G108:G113">E108*F108</f>
        <v>100.75288</v>
      </c>
      <c r="H108" s="610">
        <f>(G108+G109+G110)*'Тарифные ставки'!$B$13</f>
        <v>619.1867904000001</v>
      </c>
      <c r="I108" s="638">
        <f>H108*'Тарифные ставки'!$B$14*'Тарифные ставки'!$B$15</f>
        <v>750.4543899648</v>
      </c>
      <c r="J108" s="636">
        <f>I108-I108/'Тарифные ставки'!$B$15</f>
        <v>125.07573166079999</v>
      </c>
      <c r="K108" s="376">
        <v>660.5859348000001</v>
      </c>
      <c r="L108" s="376">
        <f>I108/K108*100-100</f>
        <v>13.604354926510595</v>
      </c>
      <c r="M108" s="3">
        <v>1266</v>
      </c>
      <c r="N108" s="358">
        <f>M108/I108*100</f>
        <v>168.697793887165</v>
      </c>
    </row>
    <row r="109" spans="1:14" ht="15.75" hidden="1">
      <c r="A109" s="141"/>
      <c r="B109" s="624"/>
      <c r="C109" s="343"/>
      <c r="D109" s="203" t="s">
        <v>2308</v>
      </c>
      <c r="E109" s="16">
        <f>'Тарифные ставки'!$B$5</f>
        <v>137.4825</v>
      </c>
      <c r="F109" s="16">
        <v>0.68</v>
      </c>
      <c r="G109" s="16">
        <f t="shared" si="7"/>
        <v>93.4881</v>
      </c>
      <c r="H109" s="610"/>
      <c r="I109" s="622"/>
      <c r="J109" s="625">
        <f>I109-I109/'Тарифные ставки'!$B$15</f>
        <v>0</v>
      </c>
      <c r="N109" s="358"/>
    </row>
    <row r="110" spans="1:14" ht="24" customHeight="1" hidden="1">
      <c r="A110" s="141"/>
      <c r="B110" s="14"/>
      <c r="C110" s="343"/>
      <c r="D110" s="205" t="s">
        <v>842</v>
      </c>
      <c r="E110" s="16">
        <f>'Тарифные ставки'!$B$10</f>
        <v>152.513</v>
      </c>
      <c r="F110" s="16">
        <v>0.3</v>
      </c>
      <c r="G110" s="16">
        <f t="shared" si="7"/>
        <v>45.7539</v>
      </c>
      <c r="H110" s="621"/>
      <c r="I110" s="639"/>
      <c r="J110" s="637">
        <f>I110-I110/'Тарифные ставки'!$B$15</f>
        <v>0</v>
      </c>
      <c r="N110" s="358"/>
    </row>
    <row r="111" spans="1:14" ht="15.75">
      <c r="A111" s="141"/>
      <c r="B111" s="624" t="s">
        <v>1292</v>
      </c>
      <c r="C111" s="343"/>
      <c r="D111" s="203" t="s">
        <v>2306</v>
      </c>
      <c r="E111" s="16">
        <f>'Тарифные ставки'!$B$4</f>
        <v>148.166</v>
      </c>
      <c r="F111" s="16">
        <v>1.08</v>
      </c>
      <c r="G111" s="16">
        <f t="shared" si="7"/>
        <v>160.01928</v>
      </c>
      <c r="H111" s="610">
        <f>(G111+G112+G113)*'Тарифные ставки'!$B$13</f>
        <v>992.6727504</v>
      </c>
      <c r="I111" s="638">
        <f>H111*'Тарифные ставки'!$B$14*'Тарифные ставки'!$B$15</f>
        <v>1203.1193734848</v>
      </c>
      <c r="J111" s="636">
        <f>I111-I111/'Тарифные ставки'!$B$15</f>
        <v>200.51989558079993</v>
      </c>
      <c r="K111" s="376">
        <v>1061.1466668</v>
      </c>
      <c r="L111" s="376">
        <f>I111/K111*100-100</f>
        <v>13.379178498758677</v>
      </c>
      <c r="M111" s="3">
        <v>1689</v>
      </c>
      <c r="N111" s="358">
        <f>M111/I111*100</f>
        <v>140.38507210700638</v>
      </c>
    </row>
    <row r="112" spans="1:14" ht="15.75" hidden="1">
      <c r="A112" s="141"/>
      <c r="B112" s="624"/>
      <c r="C112" s="343"/>
      <c r="D112" s="203" t="s">
        <v>2308</v>
      </c>
      <c r="E112" s="16">
        <f>'Тарифные ставки'!$B$5</f>
        <v>137.4825</v>
      </c>
      <c r="F112" s="16">
        <v>1.08</v>
      </c>
      <c r="G112" s="16">
        <f t="shared" si="7"/>
        <v>148.4811</v>
      </c>
      <c r="H112" s="610"/>
      <c r="I112" s="622"/>
      <c r="J112" s="625">
        <f>I112-I112/'Тарифные ставки'!$B$15</f>
        <v>0</v>
      </c>
      <c r="N112" s="358"/>
    </row>
    <row r="113" spans="1:14" ht="24" customHeight="1" hidden="1">
      <c r="A113" s="141"/>
      <c r="B113" s="15"/>
      <c r="C113" s="451"/>
      <c r="D113" s="205" t="s">
        <v>842</v>
      </c>
      <c r="E113" s="16">
        <f>'Тарифные ставки'!$B$10</f>
        <v>152.513</v>
      </c>
      <c r="F113" s="16">
        <v>0.5</v>
      </c>
      <c r="G113" s="16">
        <f t="shared" si="7"/>
        <v>76.2565</v>
      </c>
      <c r="H113" s="621"/>
      <c r="I113" s="639"/>
      <c r="J113" s="637">
        <f>I113-I113/'Тарифные ставки'!$B$15</f>
        <v>0</v>
      </c>
      <c r="N113" s="358"/>
    </row>
    <row r="114" spans="1:14" ht="15.75">
      <c r="A114" s="329"/>
      <c r="B114" s="329" t="s">
        <v>2505</v>
      </c>
      <c r="C114" s="334"/>
      <c r="D114" s="334"/>
      <c r="E114" s="334"/>
      <c r="F114" s="334"/>
      <c r="G114" s="334"/>
      <c r="H114" s="418"/>
      <c r="I114" s="418"/>
      <c r="J114" s="418"/>
      <c r="N114" s="358"/>
    </row>
    <row r="115" spans="1:14" ht="31.5">
      <c r="A115" s="141" t="s">
        <v>160</v>
      </c>
      <c r="B115" s="11" t="s">
        <v>1300</v>
      </c>
      <c r="C115" s="368" t="s">
        <v>161</v>
      </c>
      <c r="D115" s="368"/>
      <c r="E115" s="368"/>
      <c r="F115" s="368"/>
      <c r="G115" s="368"/>
      <c r="H115" s="450"/>
      <c r="I115" s="450"/>
      <c r="J115" s="450"/>
      <c r="N115" s="358"/>
    </row>
    <row r="116" spans="1:14" ht="15.75">
      <c r="A116" s="141"/>
      <c r="B116" s="14" t="s">
        <v>1301</v>
      </c>
      <c r="C116" s="343"/>
      <c r="D116" s="203" t="s">
        <v>2308</v>
      </c>
      <c r="E116" s="16">
        <f>'Тарифные ставки'!$B$5</f>
        <v>137.4825</v>
      </c>
      <c r="F116" s="16">
        <v>1.1</v>
      </c>
      <c r="G116" s="16">
        <f>E116*F116</f>
        <v>151.23075</v>
      </c>
      <c r="H116" s="396">
        <f>G116*'Тарифные ставки'!$B$13</f>
        <v>390.175335</v>
      </c>
      <c r="I116" s="396">
        <f>H116*'Тарифные ставки'!$B$14*'Тарифные ставки'!$B$15</f>
        <v>472.89250602</v>
      </c>
      <c r="J116" s="396">
        <f>I116-I116/'Тарифные ставки'!$B$15</f>
        <v>78.81541766999999</v>
      </c>
      <c r="K116" s="376">
        <v>395.5923180000001</v>
      </c>
      <c r="L116" s="376">
        <f>I116/K116*100-100</f>
        <v>19.540366307113132</v>
      </c>
      <c r="M116" s="3">
        <v>491</v>
      </c>
      <c r="N116" s="358">
        <f>M116/I116*100</f>
        <v>103.82909302843429</v>
      </c>
    </row>
    <row r="117" spans="1:14" ht="15.75">
      <c r="A117" s="141"/>
      <c r="B117" s="14" t="s">
        <v>1282</v>
      </c>
      <c r="C117" s="343"/>
      <c r="D117" s="203" t="s">
        <v>2308</v>
      </c>
      <c r="E117" s="16">
        <f>'Тарифные ставки'!$B$5</f>
        <v>137.4825</v>
      </c>
      <c r="F117" s="16">
        <v>1.4</v>
      </c>
      <c r="G117" s="16">
        <f aca="true" t="shared" si="8" ref="G117:G122">E117*F117</f>
        <v>192.47549999999998</v>
      </c>
      <c r="H117" s="396">
        <f>G117*'Тарифные ставки'!$B$13</f>
        <v>496.58678999999995</v>
      </c>
      <c r="I117" s="396">
        <f>H117*'Тарифные ставки'!$B$14*'Тарифные ставки'!$B$15</f>
        <v>601.8631894799998</v>
      </c>
      <c r="J117" s="396">
        <f>I117-I117/'Тарифные ставки'!$B$15</f>
        <v>100.31053157999997</v>
      </c>
      <c r="K117" s="376">
        <v>503.481132</v>
      </c>
      <c r="L117" s="376">
        <f>I117/K117*100-100</f>
        <v>19.540366307113132</v>
      </c>
      <c r="M117" s="3">
        <v>625</v>
      </c>
      <c r="N117" s="358">
        <f>M117/I117*100</f>
        <v>103.84419763899999</v>
      </c>
    </row>
    <row r="118" spans="1:14" ht="15.75" customHeight="1">
      <c r="A118" s="316"/>
      <c r="B118" s="14" t="s">
        <v>1283</v>
      </c>
      <c r="C118" s="343"/>
      <c r="D118" s="203" t="s">
        <v>2308</v>
      </c>
      <c r="E118" s="16">
        <f>'Тарифные ставки'!$B$5</f>
        <v>137.4825</v>
      </c>
      <c r="F118" s="16">
        <v>1.9</v>
      </c>
      <c r="G118" s="16">
        <f t="shared" si="8"/>
        <v>261.21675</v>
      </c>
      <c r="H118" s="396">
        <f>G118*'Тарифные ставки'!$B$13</f>
        <v>673.939215</v>
      </c>
      <c r="I118" s="396">
        <f>H118*'Тарифные ставки'!$B$14*'Тарифные ставки'!$B$15</f>
        <v>816.8143285799999</v>
      </c>
      <c r="J118" s="396">
        <f>I118-I118/'Тарифные ставки'!$B$15</f>
        <v>136.13572143</v>
      </c>
      <c r="M118" s="3">
        <v>845</v>
      </c>
      <c r="N118" s="358"/>
    </row>
    <row r="119" spans="1:14" ht="15.75" customHeight="1">
      <c r="A119" s="316"/>
      <c r="B119" s="14" t="s">
        <v>1293</v>
      </c>
      <c r="C119" s="343"/>
      <c r="D119" s="203" t="s">
        <v>2308</v>
      </c>
      <c r="E119" s="16">
        <f>'Тарифные ставки'!$B$5</f>
        <v>137.4825</v>
      </c>
      <c r="F119" s="16">
        <v>2.5</v>
      </c>
      <c r="G119" s="16">
        <f t="shared" si="8"/>
        <v>343.70624999999995</v>
      </c>
      <c r="H119" s="396">
        <f>G119*'Тарифные ставки'!$B$13</f>
        <v>886.7621249999999</v>
      </c>
      <c r="I119" s="396">
        <f>H119*'Тарифные ставки'!$B$14*'Тарифные ставки'!$B$15</f>
        <v>1074.7556954999998</v>
      </c>
      <c r="J119" s="396">
        <f>I119-I119/'Тарифные ставки'!$B$15</f>
        <v>179.12594924999996</v>
      </c>
      <c r="M119" s="3">
        <v>1111</v>
      </c>
      <c r="N119" s="358"/>
    </row>
    <row r="120" spans="1:14" ht="15.75" customHeight="1">
      <c r="A120" s="316"/>
      <c r="B120" s="14" t="s">
        <v>1294</v>
      </c>
      <c r="C120" s="343"/>
      <c r="D120" s="203" t="s">
        <v>2308</v>
      </c>
      <c r="E120" s="16">
        <f>'Тарифные ставки'!$B$5</f>
        <v>137.4825</v>
      </c>
      <c r="F120" s="16">
        <v>3.1</v>
      </c>
      <c r="G120" s="16">
        <f t="shared" si="8"/>
        <v>426.19575</v>
      </c>
      <c r="H120" s="396">
        <f>G120*'Тарифные ставки'!$B$13</f>
        <v>1099.585035</v>
      </c>
      <c r="I120" s="396">
        <f>H120*'Тарифные ставки'!$B$14*'Тарифные ставки'!$B$15</f>
        <v>1332.69706242</v>
      </c>
      <c r="J120" s="396">
        <f>I120-I120/'Тарифные ставки'!$B$15</f>
        <v>222.11617707000005</v>
      </c>
      <c r="M120" s="3">
        <v>1377</v>
      </c>
      <c r="N120" s="358"/>
    </row>
    <row r="121" spans="1:14" ht="15.75" customHeight="1">
      <c r="A121" s="319"/>
      <c r="B121" s="26" t="s">
        <v>1302</v>
      </c>
      <c r="C121" s="438"/>
      <c r="D121" s="203" t="s">
        <v>2308</v>
      </c>
      <c r="E121" s="16">
        <f>'Тарифные ставки'!$B$5</f>
        <v>137.4825</v>
      </c>
      <c r="F121" s="16">
        <v>3.6</v>
      </c>
      <c r="G121" s="16">
        <f t="shared" si="8"/>
        <v>494.93699999999995</v>
      </c>
      <c r="H121" s="396">
        <f>G121*'Тарифные ставки'!$B$13</f>
        <v>1276.9374599999999</v>
      </c>
      <c r="I121" s="396">
        <f>H121*'Тарифные ставки'!$B$14*'Тарифные ставки'!$B$15</f>
        <v>1547.6482015199997</v>
      </c>
      <c r="J121" s="399">
        <f>I121-I121/'Тарифные ставки'!$B$15</f>
        <v>257.94136691999984</v>
      </c>
      <c r="M121" s="3">
        <v>1599</v>
      </c>
      <c r="N121" s="358"/>
    </row>
    <row r="122" spans="1:14" ht="15.75">
      <c r="A122" s="142" t="s">
        <v>162</v>
      </c>
      <c r="B122" s="32" t="s">
        <v>884</v>
      </c>
      <c r="C122" s="430" t="s">
        <v>163</v>
      </c>
      <c r="D122" s="204" t="s">
        <v>2308</v>
      </c>
      <c r="E122" s="34">
        <f>'Тарифные ставки'!$B$5</f>
        <v>137.4825</v>
      </c>
      <c r="F122" s="34">
        <v>0.5</v>
      </c>
      <c r="G122" s="34">
        <f t="shared" si="8"/>
        <v>68.74125</v>
      </c>
      <c r="H122" s="398">
        <f>G122*'Тарифные ставки'!$B$13</f>
        <v>177.35242499999998</v>
      </c>
      <c r="I122" s="398">
        <f>H122*'Тарифные ставки'!$B$14*'Тарифные ставки'!$B$15</f>
        <v>214.95113909999998</v>
      </c>
      <c r="J122" s="398">
        <f>I122-I122/'Тарифные ставки'!$B$15</f>
        <v>35.82518984999999</v>
      </c>
      <c r="K122" s="376">
        <v>179.81469</v>
      </c>
      <c r="L122" s="376">
        <f>I122/K122*100-100</f>
        <v>19.54036630711316</v>
      </c>
      <c r="M122" s="3">
        <v>223</v>
      </c>
      <c r="N122" s="358">
        <f>M122/I122*100</f>
        <v>103.74450720926653</v>
      </c>
    </row>
    <row r="123" spans="1:14" s="22" customFormat="1" ht="31.5" customHeight="1">
      <c r="A123" s="645" t="s">
        <v>2307</v>
      </c>
      <c r="B123" s="645"/>
      <c r="C123" s="645"/>
      <c r="D123" s="645"/>
      <c r="E123" s="645"/>
      <c r="F123" s="645"/>
      <c r="G123" s="645"/>
      <c r="H123" s="645"/>
      <c r="I123" s="645"/>
      <c r="J123" s="645"/>
      <c r="K123" s="389"/>
      <c r="L123" s="389"/>
      <c r="N123" s="358"/>
    </row>
    <row r="124" spans="1:14" s="2" customFormat="1" ht="15.75">
      <c r="A124" s="131"/>
      <c r="B124" s="4"/>
      <c r="C124" s="5"/>
      <c r="D124" s="5"/>
      <c r="E124" s="5"/>
      <c r="H124" s="381"/>
      <c r="I124" s="413"/>
      <c r="J124" s="381"/>
      <c r="K124" s="381"/>
      <c r="L124" s="381"/>
      <c r="N124" s="358"/>
    </row>
    <row r="125" spans="1:14" s="140" customFormat="1" ht="15.75">
      <c r="A125" s="604" t="s">
        <v>164</v>
      </c>
      <c r="B125" s="604"/>
      <c r="C125" s="604"/>
      <c r="D125" s="604"/>
      <c r="E125" s="604"/>
      <c r="F125" s="604"/>
      <c r="G125" s="604"/>
      <c r="H125" s="604"/>
      <c r="I125" s="604"/>
      <c r="J125" s="386"/>
      <c r="K125" s="386"/>
      <c r="L125" s="386"/>
      <c r="N125" s="358"/>
    </row>
    <row r="126" spans="3:14" s="140" customFormat="1" ht="15.75">
      <c r="C126" s="171"/>
      <c r="H126" s="386"/>
      <c r="I126" s="414"/>
      <c r="J126" s="386"/>
      <c r="K126" s="386"/>
      <c r="L126" s="386"/>
      <c r="N126" s="358"/>
    </row>
    <row r="127" spans="1:14" ht="63">
      <c r="A127" s="328" t="s">
        <v>83</v>
      </c>
      <c r="B127" s="313" t="s">
        <v>82</v>
      </c>
      <c r="C127" s="313" t="s">
        <v>77</v>
      </c>
      <c r="D127" s="313" t="s">
        <v>81</v>
      </c>
      <c r="E127" s="314" t="s">
        <v>85</v>
      </c>
      <c r="F127" s="314" t="s">
        <v>78</v>
      </c>
      <c r="G127" s="314" t="s">
        <v>79</v>
      </c>
      <c r="H127" s="393" t="s">
        <v>80</v>
      </c>
      <c r="I127" s="394" t="s">
        <v>843</v>
      </c>
      <c r="J127" s="393" t="s">
        <v>2349</v>
      </c>
      <c r="N127" s="358"/>
    </row>
    <row r="128" spans="1:14" ht="31.5">
      <c r="A128" s="133" t="s">
        <v>165</v>
      </c>
      <c r="B128" s="11" t="s">
        <v>1078</v>
      </c>
      <c r="C128" s="368" t="s">
        <v>180</v>
      </c>
      <c r="D128" s="368"/>
      <c r="E128" s="368"/>
      <c r="F128" s="368"/>
      <c r="G128" s="368"/>
      <c r="H128" s="450"/>
      <c r="I128" s="450"/>
      <c r="J128" s="450"/>
      <c r="N128" s="358"/>
    </row>
    <row r="129" spans="1:14" ht="15.75">
      <c r="A129" s="134"/>
      <c r="B129" s="624" t="s">
        <v>1301</v>
      </c>
      <c r="C129" s="343"/>
      <c r="D129" s="203" t="s">
        <v>2306</v>
      </c>
      <c r="E129" s="16">
        <f>'Тарифные ставки'!$B$4</f>
        <v>148.166</v>
      </c>
      <c r="F129" s="16">
        <v>0.28</v>
      </c>
      <c r="G129" s="16">
        <f>E129*F129</f>
        <v>41.48648</v>
      </c>
      <c r="H129" s="625">
        <f>(G129+G130)*'Тарифные ставки'!$B$13</f>
        <v>214.0702368</v>
      </c>
      <c r="I129" s="625">
        <f>H129*'Тарифные ставки'!$B$14*'Тарифные ставки'!$B$15</f>
        <v>259.4531270016</v>
      </c>
      <c r="J129" s="625">
        <f>I129-I129/'Тарифные ставки'!$B$15</f>
        <v>43.242187833599985</v>
      </c>
      <c r="K129" s="376">
        <v>216.82</v>
      </c>
      <c r="L129" s="376">
        <f>I129/K129*100-100</f>
        <v>19.662912554930372</v>
      </c>
      <c r="M129" s="3">
        <v>282</v>
      </c>
      <c r="N129" s="358">
        <f>M129/I129*100</f>
        <v>108.69015272969169</v>
      </c>
    </row>
    <row r="130" spans="1:14" ht="15.75" hidden="1">
      <c r="A130" s="134"/>
      <c r="B130" s="624"/>
      <c r="C130" s="343"/>
      <c r="D130" s="205" t="s">
        <v>2309</v>
      </c>
      <c r="E130" s="16">
        <f>'Тарифные ставки'!$B$6</f>
        <v>148.166</v>
      </c>
      <c r="F130" s="16">
        <v>0.28</v>
      </c>
      <c r="G130" s="16">
        <f aca="true" t="shared" si="9" ref="G130:G136">E130*F130</f>
        <v>41.48648</v>
      </c>
      <c r="H130" s="625"/>
      <c r="I130" s="625">
        <f>H130*'Тарифные ставки'!$B$14*'Тарифные ставки'!$B$15</f>
        <v>0</v>
      </c>
      <c r="J130" s="625">
        <f>I130-I130/'Тарифные ставки'!$B$15</f>
        <v>0</v>
      </c>
      <c r="N130" s="358"/>
    </row>
    <row r="131" spans="1:14" ht="15.75">
      <c r="A131" s="134"/>
      <c r="B131" s="624" t="s">
        <v>1282</v>
      </c>
      <c r="C131" s="343"/>
      <c r="D131" s="203" t="s">
        <v>2306</v>
      </c>
      <c r="E131" s="16">
        <f>'Тарифные ставки'!$B$4</f>
        <v>148.166</v>
      </c>
      <c r="F131" s="16">
        <v>0.32</v>
      </c>
      <c r="G131" s="16">
        <f t="shared" si="9"/>
        <v>47.41312</v>
      </c>
      <c r="H131" s="625">
        <f>(G131+G132)*'Тарифные ставки'!$B$13</f>
        <v>244.6516992</v>
      </c>
      <c r="I131" s="625">
        <f>H131*'Тарифные ставки'!$B$14*'Тарифные ставки'!$B$15</f>
        <v>296.5178594304</v>
      </c>
      <c r="J131" s="625">
        <f>I131-I131/'Тарифные ставки'!$B$15</f>
        <v>49.4196432384</v>
      </c>
      <c r="K131" s="376">
        <v>247.8</v>
      </c>
      <c r="L131" s="376">
        <f>I131/K131*100-100</f>
        <v>19.660153119612573</v>
      </c>
      <c r="M131" s="3">
        <v>321</v>
      </c>
      <c r="N131" s="358">
        <f>M131/I131*100</f>
        <v>108.25654839699345</v>
      </c>
    </row>
    <row r="132" spans="1:14" ht="15.75" hidden="1">
      <c r="A132" s="134"/>
      <c r="B132" s="624"/>
      <c r="C132" s="343"/>
      <c r="D132" s="205" t="s">
        <v>2309</v>
      </c>
      <c r="E132" s="16">
        <f>'Тарифные ставки'!$B$6</f>
        <v>148.166</v>
      </c>
      <c r="F132" s="16">
        <v>0.32</v>
      </c>
      <c r="G132" s="16">
        <f t="shared" si="9"/>
        <v>47.41312</v>
      </c>
      <c r="H132" s="625"/>
      <c r="I132" s="625">
        <f>H132*'Тарифные ставки'!$B$14*'Тарифные ставки'!$B$15</f>
        <v>0</v>
      </c>
      <c r="J132" s="625">
        <f>I132-I132/'Тарифные ставки'!$B$15</f>
        <v>0</v>
      </c>
      <c r="N132" s="358"/>
    </row>
    <row r="133" spans="1:14" ht="15.75">
      <c r="A133" s="135"/>
      <c r="B133" s="624" t="s">
        <v>1283</v>
      </c>
      <c r="C133" s="343"/>
      <c r="D133" s="203" t="s">
        <v>2306</v>
      </c>
      <c r="E133" s="16">
        <f>'Тарифные ставки'!$B$4</f>
        <v>148.166</v>
      </c>
      <c r="F133" s="16">
        <v>0.38</v>
      </c>
      <c r="G133" s="16">
        <f t="shared" si="9"/>
        <v>56.30308</v>
      </c>
      <c r="H133" s="625">
        <f>(G133+G134)*'Тарифные ставки'!$B$13</f>
        <v>290.5238928</v>
      </c>
      <c r="I133" s="625">
        <f>H133*'Тарифные ставки'!$B$14*'Тарифные ставки'!$B$15</f>
        <v>352.1149580736</v>
      </c>
      <c r="J133" s="625">
        <f>I133-I133/'Тарифные ставки'!$B$15</f>
        <v>58.68582634559999</v>
      </c>
      <c r="K133" s="376">
        <v>294.26</v>
      </c>
      <c r="L133" s="376">
        <f>I133/K133*100-100</f>
        <v>19.6611697388704</v>
      </c>
      <c r="M133" s="3">
        <v>380</v>
      </c>
      <c r="N133" s="358">
        <f>M133/I133*100</f>
        <v>107.9193005826726</v>
      </c>
    </row>
    <row r="134" spans="1:14" ht="15.75" hidden="1">
      <c r="A134" s="135"/>
      <c r="B134" s="624"/>
      <c r="C134" s="343"/>
      <c r="D134" s="205" t="s">
        <v>2309</v>
      </c>
      <c r="E134" s="16">
        <f>'Тарифные ставки'!$B$6</f>
        <v>148.166</v>
      </c>
      <c r="F134" s="16">
        <v>0.38</v>
      </c>
      <c r="G134" s="16">
        <f t="shared" si="9"/>
        <v>56.30308</v>
      </c>
      <c r="H134" s="625"/>
      <c r="I134" s="625">
        <f>H134*'Тарифные ставки'!$B$14*'Тарифные ставки'!$B$15</f>
        <v>0</v>
      </c>
      <c r="J134" s="625">
        <f>I134-I134/'Тарифные ставки'!$B$15</f>
        <v>0</v>
      </c>
      <c r="N134" s="358"/>
    </row>
    <row r="135" spans="1:14" ht="15.75" customHeight="1" hidden="1">
      <c r="A135" s="320"/>
      <c r="B135" s="624" t="s">
        <v>1293</v>
      </c>
      <c r="C135" s="343"/>
      <c r="D135" s="203" t="s">
        <v>2306</v>
      </c>
      <c r="E135" s="16">
        <v>128.84</v>
      </c>
      <c r="F135" s="16">
        <v>0.48</v>
      </c>
      <c r="G135" s="16">
        <f t="shared" si="9"/>
        <v>61.843199999999996</v>
      </c>
      <c r="H135" s="625">
        <f>(G135+G136)*3.36</f>
        <v>623.3794559999999</v>
      </c>
      <c r="I135" s="625"/>
      <c r="J135" s="625"/>
      <c r="N135" s="358" t="e">
        <f>M135/I135*100</f>
        <v>#DIV/0!</v>
      </c>
    </row>
    <row r="136" spans="1:14" ht="15.75" customHeight="1" hidden="1">
      <c r="A136" s="320"/>
      <c r="B136" s="624"/>
      <c r="C136" s="343"/>
      <c r="D136" s="205" t="s">
        <v>2309</v>
      </c>
      <c r="E136" s="16">
        <v>128.84</v>
      </c>
      <c r="F136" s="16">
        <v>0.96</v>
      </c>
      <c r="G136" s="16">
        <f t="shared" si="9"/>
        <v>123.68639999999999</v>
      </c>
      <c r="H136" s="625"/>
      <c r="I136" s="625"/>
      <c r="J136" s="625"/>
      <c r="N136" s="358" t="e">
        <f aca="true" t="shared" si="10" ref="N136:N199">M136/I136*100</f>
        <v>#DIV/0!</v>
      </c>
    </row>
    <row r="137" spans="1:14" ht="15.75" customHeight="1" hidden="1">
      <c r="A137" s="320"/>
      <c r="B137" s="624" t="s">
        <v>1294</v>
      </c>
      <c r="C137" s="343"/>
      <c r="D137" s="203" t="s">
        <v>2306</v>
      </c>
      <c r="E137" s="16">
        <v>128.84</v>
      </c>
      <c r="F137" s="16">
        <v>0.6</v>
      </c>
      <c r="G137" s="16">
        <f>E137*F137</f>
        <v>77.304</v>
      </c>
      <c r="H137" s="625">
        <f>(G137+G138)*3.36</f>
        <v>779.22432</v>
      </c>
      <c r="I137" s="625"/>
      <c r="J137" s="625"/>
      <c r="N137" s="358" t="e">
        <f t="shared" si="10"/>
        <v>#DIV/0!</v>
      </c>
    </row>
    <row r="138" spans="1:14" ht="15.75" customHeight="1" hidden="1">
      <c r="A138" s="321"/>
      <c r="B138" s="643"/>
      <c r="C138" s="438"/>
      <c r="D138" s="205" t="s">
        <v>2309</v>
      </c>
      <c r="E138" s="16">
        <v>128.84</v>
      </c>
      <c r="F138" s="28">
        <v>1.2</v>
      </c>
      <c r="G138" s="28">
        <f>E138*F138</f>
        <v>154.608</v>
      </c>
      <c r="H138" s="625"/>
      <c r="I138" s="642"/>
      <c r="J138" s="642"/>
      <c r="N138" s="358" t="e">
        <f t="shared" si="10"/>
        <v>#DIV/0!</v>
      </c>
    </row>
    <row r="139" spans="1:14" ht="31.5">
      <c r="A139" s="144" t="s">
        <v>166</v>
      </c>
      <c r="B139" s="11" t="s">
        <v>1079</v>
      </c>
      <c r="C139" s="368" t="str">
        <f>C128</f>
        <v>м</v>
      </c>
      <c r="D139" s="368"/>
      <c r="E139" s="368"/>
      <c r="F139" s="368"/>
      <c r="G139" s="368"/>
      <c r="H139" s="450"/>
      <c r="I139" s="450"/>
      <c r="J139" s="450"/>
      <c r="N139" s="358"/>
    </row>
    <row r="140" spans="1:14" ht="15.75">
      <c r="A140" s="144"/>
      <c r="B140" s="624" t="s">
        <v>1080</v>
      </c>
      <c r="C140" s="343"/>
      <c r="D140" s="203" t="s">
        <v>2306</v>
      </c>
      <c r="E140" s="16">
        <f>'Тарифные ставки'!$B$4</f>
        <v>148.166</v>
      </c>
      <c r="F140" s="16">
        <v>0.18</v>
      </c>
      <c r="G140" s="16">
        <f aca="true" t="shared" si="11" ref="G140:G149">E140*F140</f>
        <v>26.66988</v>
      </c>
      <c r="H140" s="625">
        <f>(G140+G141)*'Тарифные ставки'!$B$13</f>
        <v>137.6165808</v>
      </c>
      <c r="I140" s="625">
        <f>H140*'Тарифные ставки'!$B$14*'Тарифные ставки'!$B$15</f>
        <v>166.7912959296</v>
      </c>
      <c r="J140" s="625">
        <f>I140-I140/'Тарифные ставки'!$B$15</f>
        <v>27.798549321600007</v>
      </c>
      <c r="K140" s="376">
        <v>139.39</v>
      </c>
      <c r="L140" s="376">
        <f>I140/K140*100-100</f>
        <v>19.658006980127723</v>
      </c>
      <c r="M140" s="3">
        <v>180</v>
      </c>
      <c r="N140" s="358">
        <f t="shared" si="10"/>
        <v>107.9193005826726</v>
      </c>
    </row>
    <row r="141" spans="1:14" ht="15.75" hidden="1">
      <c r="A141" s="144"/>
      <c r="B141" s="624"/>
      <c r="C141" s="343"/>
      <c r="D141" s="205" t="s">
        <v>2309</v>
      </c>
      <c r="E141" s="16">
        <f>'Тарифные ставки'!$B$6</f>
        <v>148.166</v>
      </c>
      <c r="F141" s="16">
        <v>0.18</v>
      </c>
      <c r="G141" s="16">
        <f t="shared" si="11"/>
        <v>26.66988</v>
      </c>
      <c r="H141" s="625"/>
      <c r="I141" s="625">
        <f>H141*'Тарифные ставки'!$B$14*'Тарифные ставки'!$B$15</f>
        <v>0</v>
      </c>
      <c r="J141" s="625">
        <f>I141-I141/'Тарифные ставки'!$B$15</f>
        <v>0</v>
      </c>
      <c r="N141" s="358"/>
    </row>
    <row r="142" spans="1:14" ht="15.75">
      <c r="A142" s="144"/>
      <c r="B142" s="624" t="s">
        <v>1081</v>
      </c>
      <c r="C142" s="343"/>
      <c r="D142" s="203" t="s">
        <v>2306</v>
      </c>
      <c r="E142" s="16">
        <f>'Тарифные ставки'!$B$4</f>
        <v>148.166</v>
      </c>
      <c r="F142" s="16">
        <v>0.22</v>
      </c>
      <c r="G142" s="16">
        <f t="shared" si="11"/>
        <v>32.59652</v>
      </c>
      <c r="H142" s="625">
        <f>(G142+G143)*'Тарифные ставки'!$B$13</f>
        <v>168.1980432</v>
      </c>
      <c r="I142" s="625">
        <f>H142*'Тарифные ставки'!$B$14*'Тарифные ставки'!$B$15</f>
        <v>203.85602835839998</v>
      </c>
      <c r="J142" s="625">
        <f>I142-I142/'Тарифные ставки'!$B$15</f>
        <v>33.97600472639999</v>
      </c>
      <c r="K142" s="376">
        <v>170.36</v>
      </c>
      <c r="L142" s="376">
        <f>I142/K142*100-100</f>
        <v>19.661909109180527</v>
      </c>
      <c r="M142" s="3">
        <v>220</v>
      </c>
      <c r="N142" s="358">
        <f t="shared" si="10"/>
        <v>107.9193005826726</v>
      </c>
    </row>
    <row r="143" spans="1:14" ht="15.75" hidden="1">
      <c r="A143" s="144"/>
      <c r="B143" s="624"/>
      <c r="C143" s="343"/>
      <c r="D143" s="205" t="s">
        <v>2309</v>
      </c>
      <c r="E143" s="16">
        <f>'Тарифные ставки'!$B$6</f>
        <v>148.166</v>
      </c>
      <c r="F143" s="16">
        <v>0.22</v>
      </c>
      <c r="G143" s="16">
        <f t="shared" si="11"/>
        <v>32.59652</v>
      </c>
      <c r="H143" s="625"/>
      <c r="I143" s="625">
        <f>H143*'Тарифные ставки'!$B$14*'Тарифные ставки'!$B$15</f>
        <v>0</v>
      </c>
      <c r="J143" s="625">
        <f>I143-I143/'Тарифные ставки'!$B$15</f>
        <v>0</v>
      </c>
      <c r="N143" s="358"/>
    </row>
    <row r="144" spans="1:14" ht="15.75">
      <c r="A144" s="144"/>
      <c r="B144" s="624" t="s">
        <v>1282</v>
      </c>
      <c r="C144" s="343"/>
      <c r="D144" s="203" t="s">
        <v>2306</v>
      </c>
      <c r="E144" s="16">
        <f>'Тарифные ставки'!$B$4</f>
        <v>148.166</v>
      </c>
      <c r="F144" s="16">
        <v>0.26</v>
      </c>
      <c r="G144" s="16">
        <f t="shared" si="11"/>
        <v>38.52316</v>
      </c>
      <c r="H144" s="625">
        <f>(G144+G145)*'Тарифные ставки'!$B$13</f>
        <v>198.7795056</v>
      </c>
      <c r="I144" s="625">
        <f>H144*'Тарифные ставки'!$B$14*'Тарифные ставки'!$B$15</f>
        <v>240.92076078719998</v>
      </c>
      <c r="J144" s="625">
        <f>I144-I144/'Тарифные ставки'!$B$15</f>
        <v>40.15346013119998</v>
      </c>
      <c r="K144" s="376">
        <v>201.33</v>
      </c>
      <c r="L144" s="376">
        <f>I144/K144*100-100</f>
        <v>19.664610732230642</v>
      </c>
      <c r="M144" s="3">
        <v>260</v>
      </c>
      <c r="N144" s="358">
        <f t="shared" si="10"/>
        <v>107.9193005826726</v>
      </c>
    </row>
    <row r="145" spans="1:14" ht="15.75" hidden="1">
      <c r="A145" s="144"/>
      <c r="B145" s="624"/>
      <c r="C145" s="343"/>
      <c r="D145" s="205" t="s">
        <v>2309</v>
      </c>
      <c r="E145" s="16">
        <f>'Тарифные ставки'!$B$6</f>
        <v>148.166</v>
      </c>
      <c r="F145" s="16">
        <v>0.26</v>
      </c>
      <c r="G145" s="16">
        <f t="shared" si="11"/>
        <v>38.52316</v>
      </c>
      <c r="H145" s="625"/>
      <c r="I145" s="625">
        <f>H145*'Тарифные ставки'!$B$14*'Тарифные ставки'!$B$15</f>
        <v>0</v>
      </c>
      <c r="J145" s="625">
        <f>I145-I145/'Тарифные ставки'!$B$15</f>
        <v>0</v>
      </c>
      <c r="N145" s="358"/>
    </row>
    <row r="146" spans="1:14" ht="15.75">
      <c r="A146" s="144"/>
      <c r="B146" s="624" t="s">
        <v>1283</v>
      </c>
      <c r="C146" s="343"/>
      <c r="D146" s="203" t="s">
        <v>2306</v>
      </c>
      <c r="E146" s="16">
        <f>'Тарифные ставки'!$B$4</f>
        <v>148.166</v>
      </c>
      <c r="F146" s="16">
        <v>0.31</v>
      </c>
      <c r="G146" s="16">
        <f t="shared" si="11"/>
        <v>45.93146</v>
      </c>
      <c r="H146" s="625">
        <f>(G146+G147)*'Тарифные ставки'!$B$13</f>
        <v>237.0063336</v>
      </c>
      <c r="I146" s="625">
        <f>H146*'Тарифные ставки'!$B$14*'Тарифные ставки'!$B$15</f>
        <v>287.2516763232</v>
      </c>
      <c r="J146" s="625">
        <f>I146-I146/'Тарифные ставки'!$B$15</f>
        <v>47.87527938719998</v>
      </c>
      <c r="K146" s="376">
        <v>240.05</v>
      </c>
      <c r="L146" s="376">
        <f>I146/K146*100-100</f>
        <v>19.663268620370758</v>
      </c>
      <c r="M146" s="3">
        <v>309</v>
      </c>
      <c r="N146" s="358">
        <f t="shared" si="10"/>
        <v>107.57117380659946</v>
      </c>
    </row>
    <row r="147" spans="1:14" ht="15.75" hidden="1">
      <c r="A147" s="144"/>
      <c r="B147" s="624"/>
      <c r="C147" s="343"/>
      <c r="D147" s="205" t="s">
        <v>2309</v>
      </c>
      <c r="E147" s="16">
        <f>'Тарифные ставки'!$B$6</f>
        <v>148.166</v>
      </c>
      <c r="F147" s="16">
        <v>0.31</v>
      </c>
      <c r="G147" s="16">
        <f t="shared" si="11"/>
        <v>45.93146</v>
      </c>
      <c r="H147" s="625"/>
      <c r="I147" s="625">
        <f>H147*'Тарифные ставки'!$B$14*'Тарифные ставки'!$B$15</f>
        <v>0</v>
      </c>
      <c r="J147" s="625">
        <f>I147-I147/'Тарифные ставки'!$B$15</f>
        <v>0</v>
      </c>
      <c r="N147" s="358"/>
    </row>
    <row r="148" spans="1:14" ht="15.75" customHeight="1">
      <c r="A148" s="320"/>
      <c r="B148" s="624" t="s">
        <v>1293</v>
      </c>
      <c r="C148" s="343"/>
      <c r="D148" s="203" t="s">
        <v>2306</v>
      </c>
      <c r="E148" s="16">
        <f>'Тарифные ставки'!$B$4</f>
        <v>148.166</v>
      </c>
      <c r="F148" s="16">
        <v>0.36</v>
      </c>
      <c r="G148" s="16">
        <f t="shared" si="11"/>
        <v>53.33976</v>
      </c>
      <c r="H148" s="625">
        <f>(G148+G149)*'Тарифные ставки'!$B$13</f>
        <v>412.84974239999997</v>
      </c>
      <c r="I148" s="625">
        <f>H148*'Тарифные ставки'!$B$14*'Тарифные ставки'!$B$15</f>
        <v>500.37388778879995</v>
      </c>
      <c r="J148" s="625">
        <f>I148-I148/'Тарифные ставки'!$B$15</f>
        <v>83.39564796479999</v>
      </c>
      <c r="M148" s="3">
        <v>519</v>
      </c>
      <c r="N148" s="358"/>
    </row>
    <row r="149" spans="1:14" ht="15.75" customHeight="1" hidden="1">
      <c r="A149" s="320"/>
      <c r="B149" s="624"/>
      <c r="C149" s="343"/>
      <c r="D149" s="205" t="s">
        <v>2309</v>
      </c>
      <c r="E149" s="16">
        <f>'Тарифные ставки'!$B$6</f>
        <v>148.166</v>
      </c>
      <c r="F149" s="16">
        <v>0.72</v>
      </c>
      <c r="G149" s="16">
        <f t="shared" si="11"/>
        <v>106.67952</v>
      </c>
      <c r="H149" s="625"/>
      <c r="I149" s="625">
        <f>H149*'Тарифные ставки'!$B$14*'Тарифные ставки'!$B$15</f>
        <v>0</v>
      </c>
      <c r="J149" s="625">
        <f>I149-I149/'Тарифные ставки'!$B$15</f>
        <v>0</v>
      </c>
      <c r="N149" s="358"/>
    </row>
    <row r="150" spans="1:14" ht="15.75" customHeight="1">
      <c r="A150" s="320"/>
      <c r="B150" s="624" t="s">
        <v>1294</v>
      </c>
      <c r="C150" s="343"/>
      <c r="D150" s="203" t="s">
        <v>2306</v>
      </c>
      <c r="E150" s="16">
        <f>'Тарифные ставки'!$B$4</f>
        <v>148.166</v>
      </c>
      <c r="F150" s="16">
        <v>0.42</v>
      </c>
      <c r="G150" s="16">
        <f>E150*F150</f>
        <v>62.22971999999999</v>
      </c>
      <c r="H150" s="625">
        <f>(G150+G151)*'Тарифные ставки'!$B$13</f>
        <v>481.6580328</v>
      </c>
      <c r="I150" s="625">
        <f>H150*'Тарифные ставки'!$B$14*'Тарифные ставки'!$B$15</f>
        <v>583.7695357535999</v>
      </c>
      <c r="J150" s="625">
        <f>I150-I150/'Тарифные ставки'!$B$15</f>
        <v>97.29492262559995</v>
      </c>
      <c r="M150" s="3">
        <v>607</v>
      </c>
      <c r="N150" s="358"/>
    </row>
    <row r="151" spans="1:14" ht="15.75" customHeight="1" hidden="1">
      <c r="A151" s="321"/>
      <c r="B151" s="643"/>
      <c r="C151" s="438"/>
      <c r="D151" s="205" t="s">
        <v>2309</v>
      </c>
      <c r="E151" s="16">
        <f>'Тарифные ставки'!$B$6</f>
        <v>148.166</v>
      </c>
      <c r="F151" s="28">
        <v>0.84</v>
      </c>
      <c r="G151" s="28">
        <f>E151*F151</f>
        <v>124.45943999999999</v>
      </c>
      <c r="H151" s="625"/>
      <c r="I151" s="625">
        <f>H151*'Тарифные ставки'!$B$14*'Тарифные ставки'!$B$15</f>
        <v>0</v>
      </c>
      <c r="J151" s="625">
        <f>I151-I151/'Тарифные ставки'!$B$15</f>
        <v>0</v>
      </c>
      <c r="N151" s="358"/>
    </row>
    <row r="152" spans="1:14" ht="15.75">
      <c r="A152" s="143" t="s">
        <v>167</v>
      </c>
      <c r="B152" s="608" t="s">
        <v>1082</v>
      </c>
      <c r="C152" s="342" t="str">
        <f>C139</f>
        <v>м</v>
      </c>
      <c r="D152" s="206" t="s">
        <v>2306</v>
      </c>
      <c r="E152" s="29">
        <f>'Тарифные ставки'!$B$4</f>
        <v>148.166</v>
      </c>
      <c r="F152" s="29">
        <v>0.2</v>
      </c>
      <c r="G152" s="29">
        <f>E152*F152</f>
        <v>29.633200000000002</v>
      </c>
      <c r="H152" s="636">
        <f>(G152+G153)*'Тарифные ставки'!$B$13</f>
        <v>152.90731200000002</v>
      </c>
      <c r="I152" s="636">
        <f>H152*'Тарифные ставки'!$B$14*'Тарифные ставки'!$B$15</f>
        <v>185.323662144</v>
      </c>
      <c r="J152" s="636">
        <f>I152-I152/'Тарифные ставки'!$B$15</f>
        <v>30.887277023999985</v>
      </c>
      <c r="K152" s="376">
        <v>154.87</v>
      </c>
      <c r="L152" s="376">
        <f>I152/K152*100-100</f>
        <v>19.66401636469297</v>
      </c>
      <c r="M152" s="3">
        <v>202</v>
      </c>
      <c r="N152" s="358">
        <f t="shared" si="10"/>
        <v>108.99849358849933</v>
      </c>
    </row>
    <row r="153" spans="1:14" ht="15.75">
      <c r="A153" s="145"/>
      <c r="B153" s="609"/>
      <c r="C153" s="344"/>
      <c r="D153" s="207" t="s">
        <v>2309</v>
      </c>
      <c r="E153" s="28">
        <f>'Тарифные ставки'!$B$6</f>
        <v>148.166</v>
      </c>
      <c r="F153" s="28">
        <v>0.2</v>
      </c>
      <c r="G153" s="28">
        <f>E153*F153</f>
        <v>29.633200000000002</v>
      </c>
      <c r="H153" s="642"/>
      <c r="I153" s="642">
        <f>H153*'Тарифные ставки'!$B$14*'Тарифные ставки'!$B$15</f>
        <v>0</v>
      </c>
      <c r="J153" s="642">
        <f>I153-I153/'Тарифные ставки'!$B$15</f>
        <v>0</v>
      </c>
      <c r="N153" s="358"/>
    </row>
    <row r="154" spans="1:14" ht="15.75">
      <c r="A154" s="144" t="s">
        <v>168</v>
      </c>
      <c r="B154" s="11" t="s">
        <v>1083</v>
      </c>
      <c r="C154" s="368" t="s">
        <v>169</v>
      </c>
      <c r="D154" s="368"/>
      <c r="E154" s="16"/>
      <c r="F154" s="368"/>
      <c r="G154" s="368"/>
      <c r="H154" s="450"/>
      <c r="I154" s="450"/>
      <c r="J154" s="450"/>
      <c r="N154" s="358"/>
    </row>
    <row r="155" spans="1:14" ht="15.75">
      <c r="A155" s="144"/>
      <c r="B155" s="14" t="s">
        <v>1289</v>
      </c>
      <c r="C155" s="343"/>
      <c r="D155" s="203" t="s">
        <v>2306</v>
      </c>
      <c r="E155" s="16">
        <f>'Тарифные ставки'!$B$4</f>
        <v>148.166</v>
      </c>
      <c r="F155" s="16">
        <v>0.5</v>
      </c>
      <c r="G155" s="16">
        <f>E155*F155</f>
        <v>74.083</v>
      </c>
      <c r="H155" s="396">
        <f>G155*'Тарифные ставки'!$B$13</f>
        <v>191.13414</v>
      </c>
      <c r="I155" s="396">
        <f>H155*'Тарифные ставки'!$B$14*'Тарифные ставки'!$B$15</f>
        <v>231.65457768</v>
      </c>
      <c r="J155" s="396">
        <f>I155-I155/'Тарифные ставки'!$B$15</f>
        <v>38.60909627999999</v>
      </c>
      <c r="K155" s="376">
        <v>193.59</v>
      </c>
      <c r="L155" s="376">
        <f>I155/K155*100-100</f>
        <v>19.662471036727098</v>
      </c>
      <c r="M155" s="3">
        <v>463</v>
      </c>
      <c r="N155" s="358">
        <f t="shared" si="10"/>
        <v>199.86654467910967</v>
      </c>
    </row>
    <row r="156" spans="1:14" ht="15.75">
      <c r="A156" s="144"/>
      <c r="B156" s="14" t="s">
        <v>1281</v>
      </c>
      <c r="C156" s="343"/>
      <c r="D156" s="203" t="s">
        <v>2306</v>
      </c>
      <c r="E156" s="16">
        <f>'Тарифные ставки'!$B$4</f>
        <v>148.166</v>
      </c>
      <c r="F156" s="16">
        <v>0.9</v>
      </c>
      <c r="G156" s="16">
        <f>E156*F156</f>
        <v>133.3494</v>
      </c>
      <c r="H156" s="396">
        <f>G156*'Тарифные ставки'!$B$13</f>
        <v>344.041452</v>
      </c>
      <c r="I156" s="396">
        <f>H156*'Тарифные ставки'!$B$14*'Тарифные ставки'!$B$15</f>
        <v>416.97823982399996</v>
      </c>
      <c r="J156" s="396">
        <f>I156-I156/'Тарифные ставки'!$B$15</f>
        <v>69.49637330399997</v>
      </c>
      <c r="K156" s="376">
        <v>348.46</v>
      </c>
      <c r="L156" s="376">
        <f>I156/K156*100-100</f>
        <v>19.66315784422889</v>
      </c>
      <c r="M156" s="3">
        <v>684</v>
      </c>
      <c r="N156" s="358">
        <f t="shared" si="10"/>
        <v>164.03733688566237</v>
      </c>
    </row>
    <row r="157" spans="1:14" ht="15.75">
      <c r="A157" s="135"/>
      <c r="B157" s="14" t="s">
        <v>1282</v>
      </c>
      <c r="C157" s="343"/>
      <c r="D157" s="203" t="s">
        <v>2306</v>
      </c>
      <c r="E157" s="16">
        <f>'Тарифные ставки'!$B$4</f>
        <v>148.166</v>
      </c>
      <c r="F157" s="16">
        <v>1.3</v>
      </c>
      <c r="G157" s="16">
        <f>E157*F157</f>
        <v>192.6158</v>
      </c>
      <c r="H157" s="396">
        <f>G157*'Тарифные ставки'!$B$13</f>
        <v>496.94876400000004</v>
      </c>
      <c r="I157" s="396">
        <f>H157*'Тарифные ставки'!$B$14*'Тарифные ставки'!$B$15</f>
        <v>602.301901968</v>
      </c>
      <c r="J157" s="396">
        <f>I157-I157/'Тарифные ставки'!$B$15</f>
        <v>100.38365032799999</v>
      </c>
      <c r="K157" s="376">
        <v>503.34</v>
      </c>
      <c r="L157" s="376">
        <f>I157/K157*100-100</f>
        <v>19.661044615568017</v>
      </c>
      <c r="M157" s="3">
        <v>1004</v>
      </c>
      <c r="N157" s="358">
        <f t="shared" si="10"/>
        <v>166.69381197692815</v>
      </c>
    </row>
    <row r="158" spans="1:14" ht="15.75" customHeight="1">
      <c r="A158" s="320"/>
      <c r="B158" s="14" t="s">
        <v>1283</v>
      </c>
      <c r="C158" s="343"/>
      <c r="D158" s="203" t="s">
        <v>2306</v>
      </c>
      <c r="E158" s="16">
        <f>'Тарифные ставки'!$B$4</f>
        <v>148.166</v>
      </c>
      <c r="F158" s="16">
        <v>2</v>
      </c>
      <c r="G158" s="16">
        <f>E158*F158</f>
        <v>296.332</v>
      </c>
      <c r="H158" s="396">
        <f>G158*'Тарифные ставки'!$B$13</f>
        <v>764.53656</v>
      </c>
      <c r="I158" s="396">
        <f>H158*'Тарифные ставки'!$B$14*'Тарифные ставки'!$B$15</f>
        <v>926.61831072</v>
      </c>
      <c r="J158" s="396">
        <f>I158-I158/'Тарифные ставки'!$B$15</f>
        <v>154.43638511999995</v>
      </c>
      <c r="M158" s="3">
        <v>1478</v>
      </c>
      <c r="N158" s="358"/>
    </row>
    <row r="159" spans="1:14" ht="15.75" customHeight="1">
      <c r="A159" s="321"/>
      <c r="B159" s="26" t="s">
        <v>1297</v>
      </c>
      <c r="C159" s="438"/>
      <c r="D159" s="203" t="s">
        <v>2306</v>
      </c>
      <c r="E159" s="16">
        <f>'Тарифные ставки'!$B$4</f>
        <v>148.166</v>
      </c>
      <c r="F159" s="28">
        <v>3</v>
      </c>
      <c r="G159" s="28">
        <f>E159*F159</f>
        <v>444.498</v>
      </c>
      <c r="H159" s="396">
        <f>G159*'Тарифные ставки'!$B$13</f>
        <v>1146.80484</v>
      </c>
      <c r="I159" s="396">
        <f>H159*'Тарифные ставки'!$B$14*'Тарифные ставки'!$B$15</f>
        <v>1389.92746608</v>
      </c>
      <c r="J159" s="396">
        <f>I159-I159/'Тарифные ставки'!$B$15</f>
        <v>231.65457767999987</v>
      </c>
      <c r="M159" s="3">
        <v>2127</v>
      </c>
      <c r="N159" s="358"/>
    </row>
    <row r="160" spans="1:14" ht="15.75">
      <c r="A160" s="144" t="s">
        <v>170</v>
      </c>
      <c r="B160" s="11" t="s">
        <v>1084</v>
      </c>
      <c r="C160" s="368" t="s">
        <v>171</v>
      </c>
      <c r="D160" s="368"/>
      <c r="E160" s="16"/>
      <c r="F160" s="368"/>
      <c r="G160" s="368"/>
      <c r="H160" s="450"/>
      <c r="I160" s="450"/>
      <c r="J160" s="450"/>
      <c r="N160" s="358"/>
    </row>
    <row r="161" spans="1:14" ht="31.5">
      <c r="A161" s="144"/>
      <c r="B161" s="624" t="s">
        <v>1296</v>
      </c>
      <c r="C161" s="585" t="s">
        <v>2506</v>
      </c>
      <c r="D161" s="203" t="s">
        <v>2306</v>
      </c>
      <c r="E161" s="16">
        <f>'Тарифные ставки'!$B$4</f>
        <v>148.166</v>
      </c>
      <c r="F161" s="16">
        <v>1.2</v>
      </c>
      <c r="G161" s="16">
        <f aca="true" t="shared" si="12" ref="G161:G170">E161*F161</f>
        <v>177.79919999999998</v>
      </c>
      <c r="H161" s="625">
        <f>(G161+G162)*'Тарифные ставки'!$B$13</f>
        <v>917.4438719999999</v>
      </c>
      <c r="I161" s="625">
        <f>H161*'Тарифные ставки'!$B$14*'Тарифные ставки'!$B$15</f>
        <v>1111.9419728639998</v>
      </c>
      <c r="J161" s="625">
        <f>I161-I161/'Тарифные ставки'!$B$15</f>
        <v>185.32366214399997</v>
      </c>
      <c r="K161" s="376">
        <v>929.23</v>
      </c>
      <c r="L161" s="376">
        <f>I161/K161*100-100</f>
        <v>19.662728588616346</v>
      </c>
      <c r="M161" s="3">
        <v>1570</v>
      </c>
      <c r="N161" s="358">
        <f t="shared" si="10"/>
        <v>141.19441826233</v>
      </c>
    </row>
    <row r="162" spans="1:14" ht="15.75" customHeight="1" hidden="1">
      <c r="A162" s="144"/>
      <c r="B162" s="624"/>
      <c r="C162" s="343" t="s">
        <v>172</v>
      </c>
      <c r="D162" s="205" t="s">
        <v>2309</v>
      </c>
      <c r="E162" s="16">
        <f>'Тарифные ставки'!$B$6</f>
        <v>148.166</v>
      </c>
      <c r="F162" s="16">
        <v>1.2</v>
      </c>
      <c r="G162" s="16">
        <f t="shared" si="12"/>
        <v>177.79919999999998</v>
      </c>
      <c r="H162" s="625"/>
      <c r="I162" s="625">
        <f>H162*'Тарифные ставки'!$B$14*'Тарифные ставки'!$B$15</f>
        <v>0</v>
      </c>
      <c r="J162" s="625">
        <f>I162-I162/'Тарифные ставки'!$B$15</f>
        <v>0</v>
      </c>
      <c r="N162" s="358"/>
    </row>
    <row r="163" spans="1:14" ht="15.75">
      <c r="A163" s="144"/>
      <c r="B163" s="624" t="s">
        <v>1281</v>
      </c>
      <c r="C163" s="343"/>
      <c r="D163" s="203" t="s">
        <v>2306</v>
      </c>
      <c r="E163" s="16">
        <f>'Тарифные ставки'!$B$4</f>
        <v>148.166</v>
      </c>
      <c r="F163" s="16">
        <v>1.9</v>
      </c>
      <c r="G163" s="16">
        <f t="shared" si="12"/>
        <v>281.5154</v>
      </c>
      <c r="H163" s="625">
        <f>(G163+G164)*'Тарифные ставки'!$B$13</f>
        <v>1452.619464</v>
      </c>
      <c r="I163" s="625">
        <f>H163*'Тарифные ставки'!$B$14*'Тарифные ставки'!$B$15</f>
        <v>1760.574790368</v>
      </c>
      <c r="J163" s="625">
        <f>I163-I163/'Тарифные ставки'!$B$15</f>
        <v>293.4291317279999</v>
      </c>
      <c r="K163" s="376">
        <v>1471.29</v>
      </c>
      <c r="L163" s="376">
        <f>I163/K163*100-100</f>
        <v>19.661983046714113</v>
      </c>
      <c r="M163" s="3">
        <v>2274</v>
      </c>
      <c r="N163" s="358">
        <f t="shared" si="10"/>
        <v>129.16236290789342</v>
      </c>
    </row>
    <row r="164" spans="1:14" ht="15.75" customHeight="1" hidden="1">
      <c r="A164" s="144"/>
      <c r="B164" s="624"/>
      <c r="C164" s="343"/>
      <c r="D164" s="205" t="s">
        <v>2309</v>
      </c>
      <c r="E164" s="16">
        <f>'Тарифные ставки'!$B$6</f>
        <v>148.166</v>
      </c>
      <c r="F164" s="16">
        <v>1.9</v>
      </c>
      <c r="G164" s="16">
        <f t="shared" si="12"/>
        <v>281.5154</v>
      </c>
      <c r="H164" s="625"/>
      <c r="I164" s="625">
        <f>H164*'Тарифные ставки'!$B$14*'Тарифные ставки'!$B$15</f>
        <v>0</v>
      </c>
      <c r="J164" s="625">
        <f>I164-I164/'Тарифные ставки'!$B$15</f>
        <v>0</v>
      </c>
      <c r="N164" s="358"/>
    </row>
    <row r="165" spans="1:14" ht="15.75">
      <c r="A165" s="144"/>
      <c r="B165" s="624" t="s">
        <v>1282</v>
      </c>
      <c r="C165" s="343"/>
      <c r="D165" s="203" t="s">
        <v>2306</v>
      </c>
      <c r="E165" s="16">
        <f>'Тарифные ставки'!$B$4</f>
        <v>148.166</v>
      </c>
      <c r="F165" s="16">
        <v>3.08</v>
      </c>
      <c r="G165" s="16">
        <f t="shared" si="12"/>
        <v>456.35128</v>
      </c>
      <c r="H165" s="625">
        <f>(G165+G166)*'Тарифные ставки'!$B$13</f>
        <v>2354.7726048</v>
      </c>
      <c r="I165" s="625">
        <f>H165*'Тарифные ставки'!$B$14*'Тарифные ставки'!$B$15</f>
        <v>2853.9843970176003</v>
      </c>
      <c r="J165" s="625">
        <f>I165-I165/'Тарифные ставки'!$B$15</f>
        <v>475.6640661696001</v>
      </c>
      <c r="K165" s="376">
        <v>2385.04</v>
      </c>
      <c r="L165" s="376">
        <f>I165/K165*100-100</f>
        <v>19.66190910918057</v>
      </c>
      <c r="M165" s="3">
        <v>3640</v>
      </c>
      <c r="N165" s="358">
        <f t="shared" si="10"/>
        <v>127.54099159770398</v>
      </c>
    </row>
    <row r="166" spans="1:14" ht="15.75" hidden="1">
      <c r="A166" s="144"/>
      <c r="B166" s="624"/>
      <c r="C166" s="343"/>
      <c r="D166" s="205" t="s">
        <v>2309</v>
      </c>
      <c r="E166" s="16">
        <f>'Тарифные ставки'!$B$6</f>
        <v>148.166</v>
      </c>
      <c r="F166" s="16">
        <v>3.08</v>
      </c>
      <c r="G166" s="16">
        <f t="shared" si="12"/>
        <v>456.35128</v>
      </c>
      <c r="H166" s="625"/>
      <c r="I166" s="625">
        <f>H166*'Тарифные ставки'!$B$14*'Тарифные ставки'!$B$15</f>
        <v>0</v>
      </c>
      <c r="J166" s="625">
        <f>I166-I166/'Тарифные ставки'!$B$15</f>
        <v>0</v>
      </c>
      <c r="N166" s="358"/>
    </row>
    <row r="167" spans="1:14" ht="15.75" customHeight="1" hidden="1">
      <c r="A167" s="320"/>
      <c r="B167" s="624" t="s">
        <v>1283</v>
      </c>
      <c r="C167" s="343"/>
      <c r="D167" s="203" t="s">
        <v>2306</v>
      </c>
      <c r="E167" s="16">
        <f>128.84*1.15</f>
        <v>148.166</v>
      </c>
      <c r="F167" s="16">
        <v>4</v>
      </c>
      <c r="G167" s="16">
        <f t="shared" si="12"/>
        <v>592.664</v>
      </c>
      <c r="H167" s="625">
        <f>(G167+G168)*3.36</f>
        <v>3982.7020799999996</v>
      </c>
      <c r="I167" s="625"/>
      <c r="J167" s="625"/>
      <c r="N167" s="358" t="e">
        <f t="shared" si="10"/>
        <v>#DIV/0!</v>
      </c>
    </row>
    <row r="168" spans="1:14" ht="15.75" customHeight="1" hidden="1">
      <c r="A168" s="320"/>
      <c r="B168" s="624"/>
      <c r="C168" s="343"/>
      <c r="D168" s="205" t="s">
        <v>2309</v>
      </c>
      <c r="E168" s="16">
        <f>128.84*1.15</f>
        <v>148.166</v>
      </c>
      <c r="F168" s="16">
        <v>4</v>
      </c>
      <c r="G168" s="16">
        <f t="shared" si="12"/>
        <v>592.664</v>
      </c>
      <c r="H168" s="625"/>
      <c r="I168" s="625"/>
      <c r="J168" s="625"/>
      <c r="N168" s="358" t="e">
        <f t="shared" si="10"/>
        <v>#DIV/0!</v>
      </c>
    </row>
    <row r="169" spans="1:14" ht="15.75" customHeight="1" hidden="1">
      <c r="A169" s="320"/>
      <c r="B169" s="624" t="s">
        <v>1297</v>
      </c>
      <c r="C169" s="343"/>
      <c r="D169" s="203" t="s">
        <v>2306</v>
      </c>
      <c r="E169" s="16">
        <f>128.84*1.15</f>
        <v>148.166</v>
      </c>
      <c r="F169" s="16">
        <v>5.6</v>
      </c>
      <c r="G169" s="16">
        <f t="shared" si="12"/>
        <v>829.7295999999999</v>
      </c>
      <c r="H169" s="625">
        <f>(G169+G170)*3.36</f>
        <v>8363.674368</v>
      </c>
      <c r="I169" s="625"/>
      <c r="J169" s="625"/>
      <c r="N169" s="358" t="e">
        <f t="shared" si="10"/>
        <v>#DIV/0!</v>
      </c>
    </row>
    <row r="170" spans="1:14" ht="15.75" customHeight="1" hidden="1">
      <c r="A170" s="321"/>
      <c r="B170" s="643"/>
      <c r="C170" s="438"/>
      <c r="D170" s="205" t="s">
        <v>2309</v>
      </c>
      <c r="E170" s="16">
        <f>128.84*1.15</f>
        <v>148.166</v>
      </c>
      <c r="F170" s="28">
        <v>11.2</v>
      </c>
      <c r="G170" s="28">
        <f t="shared" si="12"/>
        <v>1659.4591999999998</v>
      </c>
      <c r="H170" s="625"/>
      <c r="I170" s="642"/>
      <c r="J170" s="642"/>
      <c r="N170" s="358" t="e">
        <f t="shared" si="10"/>
        <v>#DIV/0!</v>
      </c>
    </row>
    <row r="171" spans="1:14" ht="31.5">
      <c r="A171" s="133" t="s">
        <v>173</v>
      </c>
      <c r="B171" s="11" t="s">
        <v>1085</v>
      </c>
      <c r="C171" s="368" t="s">
        <v>174</v>
      </c>
      <c r="D171" s="368"/>
      <c r="E171" s="16"/>
      <c r="F171" s="368"/>
      <c r="G171" s="368"/>
      <c r="H171" s="450"/>
      <c r="I171" s="450"/>
      <c r="J171" s="450"/>
      <c r="N171" s="358"/>
    </row>
    <row r="172" spans="1:14" ht="15.75">
      <c r="A172" s="134"/>
      <c r="B172" s="624" t="s">
        <v>1086</v>
      </c>
      <c r="C172" s="343"/>
      <c r="D172" s="203" t="s">
        <v>2306</v>
      </c>
      <c r="E172" s="16">
        <f>'Тарифные ставки'!$B$4</f>
        <v>148.166</v>
      </c>
      <c r="F172" s="16">
        <v>1.75</v>
      </c>
      <c r="G172" s="16">
        <f aca="true" t="shared" si="13" ref="G172:G178">E172*F172</f>
        <v>259.2905</v>
      </c>
      <c r="H172" s="625">
        <f>(G172+G173)*'Тарифные ставки'!$B$13</f>
        <v>1337.9389800000001</v>
      </c>
      <c r="I172" s="625">
        <f>H172*'Тарифные ставки'!$B$14*'Тарифные ставки'!$B$15</f>
        <v>1621.5820437600003</v>
      </c>
      <c r="J172" s="625">
        <f>I172-I172/'Тарифные ставки'!$B$15</f>
        <v>270.26367396</v>
      </c>
      <c r="K172" s="376">
        <v>1355.13</v>
      </c>
      <c r="L172" s="376">
        <f>I172/K172*100-100</f>
        <v>19.662471036727112</v>
      </c>
      <c r="M172" s="3">
        <v>1755</v>
      </c>
      <c r="N172" s="358">
        <f t="shared" si="10"/>
        <v>108.22764144148023</v>
      </c>
    </row>
    <row r="173" spans="1:14" ht="15.75" hidden="1">
      <c r="A173" s="135"/>
      <c r="B173" s="643"/>
      <c r="C173" s="438"/>
      <c r="D173" s="207" t="s">
        <v>2309</v>
      </c>
      <c r="E173" s="16">
        <f>'Тарифные ставки'!$B$6</f>
        <v>148.166</v>
      </c>
      <c r="F173" s="28">
        <v>1.75</v>
      </c>
      <c r="G173" s="28">
        <f t="shared" si="13"/>
        <v>259.2905</v>
      </c>
      <c r="H173" s="625"/>
      <c r="I173" s="625">
        <f>H173*'Тарифные ставки'!$B$14*'Тарифные ставки'!$B$15</f>
        <v>0</v>
      </c>
      <c r="J173" s="642">
        <f>I173-I173/'Тарифные ставки'!$B$15</f>
        <v>0</v>
      </c>
      <c r="N173" s="358"/>
    </row>
    <row r="174" spans="1:14" ht="15.75" customHeight="1" hidden="1">
      <c r="A174" s="322"/>
      <c r="B174" s="624" t="s">
        <v>1087</v>
      </c>
      <c r="C174" s="21"/>
      <c r="D174" s="203" t="s">
        <v>2306</v>
      </c>
      <c r="E174" s="16">
        <f>128.84*1.15</f>
        <v>148.166</v>
      </c>
      <c r="F174" s="16">
        <v>2.6</v>
      </c>
      <c r="G174" s="16">
        <f t="shared" si="13"/>
        <v>385.2316</v>
      </c>
      <c r="H174" s="625">
        <f>(G174+G175)*3.36</f>
        <v>2588.756352</v>
      </c>
      <c r="I174" s="625"/>
      <c r="J174" s="625"/>
      <c r="N174" s="358" t="e">
        <f t="shared" si="10"/>
        <v>#DIV/0!</v>
      </c>
    </row>
    <row r="175" spans="1:14" ht="15.75" customHeight="1" hidden="1">
      <c r="A175" s="323"/>
      <c r="B175" s="643"/>
      <c r="C175" s="335"/>
      <c r="D175" s="205" t="s">
        <v>2309</v>
      </c>
      <c r="E175" s="16">
        <f>128.84*1.15</f>
        <v>148.166</v>
      </c>
      <c r="F175" s="28">
        <v>2.6</v>
      </c>
      <c r="G175" s="28">
        <f t="shared" si="13"/>
        <v>385.2316</v>
      </c>
      <c r="H175" s="642"/>
      <c r="I175" s="642"/>
      <c r="J175" s="642"/>
      <c r="N175" s="358" t="e">
        <f t="shared" si="10"/>
        <v>#DIV/0!</v>
      </c>
    </row>
    <row r="176" spans="1:14" ht="63" hidden="1">
      <c r="A176" s="328" t="s">
        <v>83</v>
      </c>
      <c r="B176" s="313" t="s">
        <v>82</v>
      </c>
      <c r="C176" s="313" t="s">
        <v>77</v>
      </c>
      <c r="D176" s="313" t="s">
        <v>81</v>
      </c>
      <c r="E176" s="314" t="s">
        <v>85</v>
      </c>
      <c r="F176" s="314" t="s">
        <v>78</v>
      </c>
      <c r="G176" s="314" t="s">
        <v>79</v>
      </c>
      <c r="H176" s="393" t="s">
        <v>80</v>
      </c>
      <c r="I176" s="394" t="s">
        <v>843</v>
      </c>
      <c r="J176" s="393"/>
      <c r="N176" s="358"/>
    </row>
    <row r="177" spans="1:14" ht="15.75">
      <c r="A177" s="143" t="s">
        <v>175</v>
      </c>
      <c r="B177" s="608" t="s">
        <v>1088</v>
      </c>
      <c r="C177" s="342" t="s">
        <v>174</v>
      </c>
      <c r="D177" s="206" t="s">
        <v>2306</v>
      </c>
      <c r="E177" s="16">
        <f>'Тарифные ставки'!$B$4</f>
        <v>148.166</v>
      </c>
      <c r="F177" s="29">
        <v>1.25</v>
      </c>
      <c r="G177" s="29">
        <f t="shared" si="13"/>
        <v>185.20749999999998</v>
      </c>
      <c r="H177" s="610">
        <f>(G177+G178)*'Тарифные ставки'!$B$13</f>
        <v>955.6706999999999</v>
      </c>
      <c r="I177" s="610">
        <f>H177*'Тарифные ставки'!$B$14*'Тарифные ставки'!$B$15</f>
        <v>1158.2728883999998</v>
      </c>
      <c r="J177" s="636">
        <f>I177-I177/'Тарифные ставки'!$B$15</f>
        <v>193.04548139999997</v>
      </c>
      <c r="K177" s="376">
        <v>967.9527</v>
      </c>
      <c r="L177" s="376">
        <f>I177/K177*100-100</f>
        <v>19.662137251128044</v>
      </c>
      <c r="M177" s="3">
        <v>1255</v>
      </c>
      <c r="N177" s="358">
        <f t="shared" si="10"/>
        <v>108.35097778500331</v>
      </c>
    </row>
    <row r="178" spans="1:14" ht="15.75">
      <c r="A178" s="145"/>
      <c r="B178" s="609"/>
      <c r="C178" s="344"/>
      <c r="D178" s="207" t="s">
        <v>2309</v>
      </c>
      <c r="E178" s="16">
        <f>'Тарифные ставки'!$B$6</f>
        <v>148.166</v>
      </c>
      <c r="F178" s="28">
        <v>1.25</v>
      </c>
      <c r="G178" s="28">
        <f t="shared" si="13"/>
        <v>185.20749999999998</v>
      </c>
      <c r="H178" s="610"/>
      <c r="I178" s="610">
        <f>H178*'Тарифные ставки'!$B$14*'Тарифные ставки'!$B$15</f>
        <v>0</v>
      </c>
      <c r="J178" s="642">
        <f>I178-I178/'Тарифные ставки'!$B$15</f>
        <v>0</v>
      </c>
      <c r="N178" s="358"/>
    </row>
    <row r="179" spans="1:14" ht="31.5" customHeight="1" hidden="1">
      <c r="A179" s="320" t="s">
        <v>176</v>
      </c>
      <c r="B179" s="11" t="s">
        <v>1713</v>
      </c>
      <c r="C179" s="368" t="s">
        <v>174</v>
      </c>
      <c r="D179" s="368"/>
      <c r="E179" s="16">
        <f aca="true" t="shared" si="14" ref="E179:E185">128.84*1.15</f>
        <v>148.166</v>
      </c>
      <c r="F179" s="368"/>
      <c r="G179" s="368"/>
      <c r="H179" s="450"/>
      <c r="I179" s="450"/>
      <c r="J179" s="450">
        <f>I179-I179/'Тарифные ставки'!$B$15</f>
        <v>0</v>
      </c>
      <c r="N179" s="358" t="e">
        <f t="shared" si="10"/>
        <v>#DIV/0!</v>
      </c>
    </row>
    <row r="180" spans="1:14" ht="15.75" customHeight="1" hidden="1">
      <c r="A180" s="320"/>
      <c r="B180" s="624" t="s">
        <v>1086</v>
      </c>
      <c r="C180" s="343"/>
      <c r="D180" s="203" t="s">
        <v>2306</v>
      </c>
      <c r="E180" s="16">
        <f t="shared" si="14"/>
        <v>148.166</v>
      </c>
      <c r="F180" s="16">
        <v>2.33</v>
      </c>
      <c r="G180" s="16">
        <f aca="true" t="shared" si="15" ref="G180:G186">E180*F180</f>
        <v>345.22678</v>
      </c>
      <c r="H180" s="625">
        <f>(G180+G181)*3.45</f>
        <v>3578.2089</v>
      </c>
      <c r="I180" s="625"/>
      <c r="J180" s="625">
        <f>I180-I180/'Тарифные ставки'!$B$15</f>
        <v>0</v>
      </c>
      <c r="N180" s="358" t="e">
        <f t="shared" si="10"/>
        <v>#DIV/0!</v>
      </c>
    </row>
    <row r="181" spans="1:14" ht="15.75" customHeight="1" hidden="1">
      <c r="A181" s="320"/>
      <c r="B181" s="624"/>
      <c r="C181" s="343"/>
      <c r="D181" s="205" t="s">
        <v>2309</v>
      </c>
      <c r="E181" s="16">
        <f t="shared" si="14"/>
        <v>148.166</v>
      </c>
      <c r="F181" s="16">
        <v>4.67</v>
      </c>
      <c r="G181" s="16">
        <f t="shared" si="15"/>
        <v>691.93522</v>
      </c>
      <c r="H181" s="625"/>
      <c r="I181" s="625"/>
      <c r="J181" s="625">
        <f>I181-I181/'Тарифные ставки'!$B$15</f>
        <v>0</v>
      </c>
      <c r="N181" s="358" t="e">
        <f t="shared" si="10"/>
        <v>#DIV/0!</v>
      </c>
    </row>
    <row r="182" spans="1:14" ht="15.75" customHeight="1" hidden="1">
      <c r="A182" s="320"/>
      <c r="B182" s="624" t="s">
        <v>1087</v>
      </c>
      <c r="C182" s="343"/>
      <c r="D182" s="203" t="s">
        <v>2306</v>
      </c>
      <c r="E182" s="16">
        <f t="shared" si="14"/>
        <v>148.166</v>
      </c>
      <c r="F182" s="16">
        <v>3</v>
      </c>
      <c r="G182" s="16">
        <f t="shared" si="15"/>
        <v>444.498</v>
      </c>
      <c r="H182" s="625">
        <f>(G182+G183)*3.45</f>
        <v>4600.5543</v>
      </c>
      <c r="I182" s="625"/>
      <c r="J182" s="625">
        <f>I182-I182/'Тарифные ставки'!$B$15</f>
        <v>0</v>
      </c>
      <c r="N182" s="358" t="e">
        <f t="shared" si="10"/>
        <v>#DIV/0!</v>
      </c>
    </row>
    <row r="183" spans="1:14" ht="15.75" customHeight="1" hidden="1">
      <c r="A183" s="321"/>
      <c r="B183" s="643"/>
      <c r="C183" s="438"/>
      <c r="D183" s="205" t="s">
        <v>2309</v>
      </c>
      <c r="E183" s="16">
        <f t="shared" si="14"/>
        <v>148.166</v>
      </c>
      <c r="F183" s="28">
        <v>6</v>
      </c>
      <c r="G183" s="28">
        <f t="shared" si="15"/>
        <v>888.996</v>
      </c>
      <c r="H183" s="642"/>
      <c r="I183" s="642"/>
      <c r="J183" s="642">
        <f>I183-I183/'Тарифные ставки'!$B$15</f>
        <v>0</v>
      </c>
      <c r="N183" s="358" t="e">
        <f t="shared" si="10"/>
        <v>#DIV/0!</v>
      </c>
    </row>
    <row r="184" spans="1:14" ht="15.75" customHeight="1" hidden="1">
      <c r="A184" s="324" t="s">
        <v>177</v>
      </c>
      <c r="B184" s="608" t="s">
        <v>1714</v>
      </c>
      <c r="C184" s="342" t="s">
        <v>174</v>
      </c>
      <c r="D184" s="206" t="s">
        <v>2306</v>
      </c>
      <c r="E184" s="16">
        <f t="shared" si="14"/>
        <v>148.166</v>
      </c>
      <c r="F184" s="29">
        <v>2</v>
      </c>
      <c r="G184" s="29">
        <f t="shared" si="15"/>
        <v>296.332</v>
      </c>
      <c r="H184" s="636">
        <f>(G184+G185)*3.45</f>
        <v>2044.6908</v>
      </c>
      <c r="I184" s="636"/>
      <c r="J184" s="636">
        <f>I184-I184/'Тарифные ставки'!$B$15</f>
        <v>0</v>
      </c>
      <c r="N184" s="358" t="e">
        <f t="shared" si="10"/>
        <v>#DIV/0!</v>
      </c>
    </row>
    <row r="185" spans="1:14" ht="15.75" customHeight="1" hidden="1">
      <c r="A185" s="321"/>
      <c r="B185" s="609"/>
      <c r="C185" s="344"/>
      <c r="D185" s="207" t="s">
        <v>2309</v>
      </c>
      <c r="E185" s="16">
        <f t="shared" si="14"/>
        <v>148.166</v>
      </c>
      <c r="F185" s="28">
        <v>2</v>
      </c>
      <c r="G185" s="28">
        <f t="shared" si="15"/>
        <v>296.332</v>
      </c>
      <c r="H185" s="642"/>
      <c r="I185" s="642"/>
      <c r="J185" s="642">
        <f>I185-I185/'Тарифные ставки'!$B$15</f>
        <v>0</v>
      </c>
      <c r="N185" s="358" t="e">
        <f t="shared" si="10"/>
        <v>#DIV/0!</v>
      </c>
    </row>
    <row r="186" spans="1:14" ht="15.75">
      <c r="A186" s="139" t="s">
        <v>178</v>
      </c>
      <c r="B186" s="39" t="s">
        <v>1715</v>
      </c>
      <c r="C186" s="430" t="s">
        <v>174</v>
      </c>
      <c r="D186" s="205" t="s">
        <v>2309</v>
      </c>
      <c r="E186" s="16">
        <f>'Тарифные ставки'!$B$6</f>
        <v>148.166</v>
      </c>
      <c r="F186" s="34">
        <v>3</v>
      </c>
      <c r="G186" s="34">
        <f t="shared" si="15"/>
        <v>444.498</v>
      </c>
      <c r="H186" s="396">
        <f>G186*'Тарифные ставки'!$B$13</f>
        <v>1146.80484</v>
      </c>
      <c r="I186" s="396">
        <f>H186*'Тарифные ставки'!$B$14*'Тарифные ставки'!$B$15</f>
        <v>1389.92746608</v>
      </c>
      <c r="J186" s="398">
        <f>I186-I186/'Тарифные ставки'!$B$15</f>
        <v>231.65457767999987</v>
      </c>
      <c r="K186" s="376">
        <v>1161.5432400000002</v>
      </c>
      <c r="L186" s="376">
        <f>I186/K186*100-100</f>
        <v>19.662137251128044</v>
      </c>
      <c r="M186" s="3">
        <v>1337</v>
      </c>
      <c r="N186" s="358">
        <f t="shared" si="10"/>
        <v>96.19206991935552</v>
      </c>
    </row>
    <row r="187" spans="1:14" ht="15.75">
      <c r="A187" s="133" t="s">
        <v>179</v>
      </c>
      <c r="B187" s="11" t="s">
        <v>1716</v>
      </c>
      <c r="C187" s="451" t="s">
        <v>180</v>
      </c>
      <c r="D187" s="29"/>
      <c r="E187" s="16"/>
      <c r="F187" s="29"/>
      <c r="G187" s="29"/>
      <c r="H187" s="400"/>
      <c r="I187" s="400"/>
      <c r="J187" s="400"/>
      <c r="N187" s="358"/>
    </row>
    <row r="188" spans="1:14" ht="15.75">
      <c r="A188" s="134"/>
      <c r="B188" s="624" t="s">
        <v>1717</v>
      </c>
      <c r="C188" s="451"/>
      <c r="D188" s="205" t="s">
        <v>2309</v>
      </c>
      <c r="E188" s="16">
        <f>'Тарифные ставки'!$B$6</f>
        <v>148.166</v>
      </c>
      <c r="F188" s="16">
        <v>0.25</v>
      </c>
      <c r="G188" s="16">
        <f>F188*E188</f>
        <v>37.0415</v>
      </c>
      <c r="H188" s="610">
        <f>(G188+G189)*'Тарифные ставки'!$B$13</f>
        <v>191.13414</v>
      </c>
      <c r="I188" s="610">
        <f>H188*'Тарифные ставки'!$B$14*'Тарифные ставки'!$B$15</f>
        <v>231.65457768</v>
      </c>
      <c r="J188" s="636">
        <f>I188-I188/'Тарифные ставки'!$B$15</f>
        <v>38.60909627999999</v>
      </c>
      <c r="K188" s="376">
        <v>193.59054</v>
      </c>
      <c r="L188" s="376">
        <f>I188/K188*100-100</f>
        <v>19.66213725112806</v>
      </c>
      <c r="M188" s="3">
        <v>239</v>
      </c>
      <c r="N188" s="358">
        <f t="shared" si="10"/>
        <v>103.170851357035</v>
      </c>
    </row>
    <row r="189" spans="1:14" ht="15.75" hidden="1">
      <c r="A189" s="134"/>
      <c r="B189" s="624"/>
      <c r="C189" s="451"/>
      <c r="D189" s="205" t="s">
        <v>2309</v>
      </c>
      <c r="E189" s="16">
        <f>'Тарифные ставки'!$B$6</f>
        <v>148.166</v>
      </c>
      <c r="F189" s="16">
        <v>0.25</v>
      </c>
      <c r="G189" s="16">
        <f>F189*E189</f>
        <v>37.0415</v>
      </c>
      <c r="H189" s="610"/>
      <c r="I189" s="610">
        <f>H189*'Тарифные ставки'!$B$14*'Тарифные ставки'!$B$15</f>
        <v>0</v>
      </c>
      <c r="J189" s="642">
        <f>I189-I189/'Тарифные ставки'!$B$15</f>
        <v>0</v>
      </c>
      <c r="N189" s="358"/>
    </row>
    <row r="190" spans="1:14" ht="15.75">
      <c r="A190" s="135"/>
      <c r="B190" s="624" t="s">
        <v>1238</v>
      </c>
      <c r="C190" s="340"/>
      <c r="D190" s="205" t="s">
        <v>2309</v>
      </c>
      <c r="E190" s="16">
        <f>'Тарифные ставки'!$B$6</f>
        <v>148.166</v>
      </c>
      <c r="F190" s="16">
        <v>0.5</v>
      </c>
      <c r="G190" s="16">
        <f>F190*E190</f>
        <v>74.083</v>
      </c>
      <c r="H190" s="610">
        <f>(G190+G191)*'Тарифные ставки'!$B$13</f>
        <v>382.26828</v>
      </c>
      <c r="I190" s="610">
        <f>H190*'Тарифные ставки'!$B$14*'Тарифные ставки'!$B$15</f>
        <v>463.30915536</v>
      </c>
      <c r="J190" s="636">
        <f>I190-I190/'Тарифные ставки'!$B$15</f>
        <v>77.21819255999998</v>
      </c>
      <c r="K190" s="376">
        <v>387.18108</v>
      </c>
      <c r="L190" s="376">
        <f>I190/K190*100-100</f>
        <v>19.66213725112806</v>
      </c>
      <c r="M190" s="3">
        <v>478</v>
      </c>
      <c r="N190" s="358">
        <f t="shared" si="10"/>
        <v>103.170851357035</v>
      </c>
    </row>
    <row r="191" spans="1:14" ht="15.75" hidden="1">
      <c r="A191" s="145"/>
      <c r="B191" s="643"/>
      <c r="C191" s="438"/>
      <c r="D191" s="205" t="s">
        <v>2309</v>
      </c>
      <c r="E191" s="16">
        <f>'Тарифные ставки'!$B$6</f>
        <v>148.166</v>
      </c>
      <c r="F191" s="28">
        <v>0.5</v>
      </c>
      <c r="G191" s="28">
        <f>F191*E191</f>
        <v>74.083</v>
      </c>
      <c r="H191" s="610"/>
      <c r="I191" s="610">
        <f>H191*'Тарифные ставки'!$B$14*'Тарифные ставки'!$B$15</f>
        <v>0</v>
      </c>
      <c r="J191" s="642">
        <f>I191-I191/'Тарифные ставки'!$B$15</f>
        <v>0</v>
      </c>
      <c r="N191" s="358"/>
    </row>
    <row r="192" spans="1:14" ht="15.75">
      <c r="A192" s="144" t="s">
        <v>181</v>
      </c>
      <c r="B192" s="31" t="s">
        <v>1239</v>
      </c>
      <c r="C192" s="343" t="s">
        <v>182</v>
      </c>
      <c r="D192" s="198"/>
      <c r="E192" s="16"/>
      <c r="F192" s="199"/>
      <c r="G192" s="29"/>
      <c r="H192" s="400"/>
      <c r="I192" s="400"/>
      <c r="J192" s="400"/>
      <c r="N192" s="358"/>
    </row>
    <row r="193" spans="1:14" ht="15.75">
      <c r="A193" s="144"/>
      <c r="B193" s="41" t="s">
        <v>1289</v>
      </c>
      <c r="C193" s="343"/>
      <c r="D193" s="205" t="s">
        <v>2309</v>
      </c>
      <c r="E193" s="16">
        <f>'Тарифные ставки'!$B$6</f>
        <v>148.166</v>
      </c>
      <c r="F193" s="197">
        <v>1.86</v>
      </c>
      <c r="G193" s="16">
        <f>E193*F193</f>
        <v>275.58876000000004</v>
      </c>
      <c r="H193" s="396">
        <f>G193*'Тарифные ставки'!$B$13</f>
        <v>711.0190008000001</v>
      </c>
      <c r="I193" s="396">
        <f>H193*'Тарифные ставки'!$B$14*'Тарифные ставки'!$B$15</f>
        <v>861.7550289696001</v>
      </c>
      <c r="J193" s="396">
        <f>I193-I193/'Тарифные ставки'!$B$15</f>
        <v>143.62583816159997</v>
      </c>
      <c r="K193" s="376">
        <v>720.1568088000001</v>
      </c>
      <c r="L193" s="376">
        <f>I193/K193*100-100</f>
        <v>19.66213725112806</v>
      </c>
      <c r="M193" s="3">
        <v>828</v>
      </c>
      <c r="N193" s="358">
        <f t="shared" si="10"/>
        <v>96.08299019618592</v>
      </c>
    </row>
    <row r="194" spans="1:14" ht="15.75">
      <c r="A194" s="144"/>
      <c r="B194" s="41" t="s">
        <v>1240</v>
      </c>
      <c r="C194" s="343"/>
      <c r="D194" s="205" t="s">
        <v>2309</v>
      </c>
      <c r="E194" s="16">
        <f>'Тарифные ставки'!$B$6</f>
        <v>148.166</v>
      </c>
      <c r="F194" s="197">
        <v>2.88</v>
      </c>
      <c r="G194" s="16">
        <f aca="true" t="shared" si="16" ref="G194:G199">E194*F194</f>
        <v>426.71808</v>
      </c>
      <c r="H194" s="396">
        <f>G194*'Тарифные ставки'!$B$13</f>
        <v>1100.9326464</v>
      </c>
      <c r="I194" s="396">
        <f>H194*'Тарифные ставки'!$B$14*'Тарифные ставки'!$B$15</f>
        <v>1334.3303674368</v>
      </c>
      <c r="J194" s="396">
        <f>I194-I194/'Тарифные ставки'!$B$15</f>
        <v>222.38839457280005</v>
      </c>
      <c r="K194" s="376">
        <v>1115.0815104</v>
      </c>
      <c r="L194" s="376">
        <f>I194/K194*100-100</f>
        <v>19.662137251128087</v>
      </c>
      <c r="M194" s="3">
        <v>1285</v>
      </c>
      <c r="N194" s="358">
        <f t="shared" si="10"/>
        <v>96.30298697828769</v>
      </c>
    </row>
    <row r="195" spans="1:14" ht="15.75">
      <c r="A195" s="144"/>
      <c r="B195" s="41" t="s">
        <v>1241</v>
      </c>
      <c r="C195" s="343"/>
      <c r="D195" s="205" t="s">
        <v>2309</v>
      </c>
      <c r="E195" s="16">
        <f>'Тарифные ставки'!$B$6</f>
        <v>148.166</v>
      </c>
      <c r="F195" s="197">
        <v>4</v>
      </c>
      <c r="G195" s="16">
        <f t="shared" si="16"/>
        <v>592.664</v>
      </c>
      <c r="H195" s="396">
        <f>G195*'Тарифные ставки'!$B$13</f>
        <v>1529.07312</v>
      </c>
      <c r="I195" s="396">
        <f>H195*'Тарифные ставки'!$B$14*'Тарифные ставки'!$B$15</f>
        <v>1853.23662144</v>
      </c>
      <c r="J195" s="396">
        <f>I195-I195/'Тарифные ставки'!$B$15</f>
        <v>308.8727702399999</v>
      </c>
      <c r="K195" s="376">
        <v>1548.72432</v>
      </c>
      <c r="L195" s="376">
        <f>I195/K195*100-100</f>
        <v>19.66213725112806</v>
      </c>
      <c r="M195" s="3">
        <v>1784</v>
      </c>
      <c r="N195" s="358">
        <f t="shared" si="10"/>
        <v>96.26401611974397</v>
      </c>
    </row>
    <row r="196" spans="1:14" ht="15.75">
      <c r="A196" s="145"/>
      <c r="B196" s="42" t="s">
        <v>1242</v>
      </c>
      <c r="C196" s="438"/>
      <c r="D196" s="207" t="s">
        <v>2309</v>
      </c>
      <c r="E196" s="16">
        <f>'Тарифные ставки'!$B$6</f>
        <v>148.166</v>
      </c>
      <c r="F196" s="200">
        <v>5.2</v>
      </c>
      <c r="G196" s="28">
        <f t="shared" si="16"/>
        <v>770.4632</v>
      </c>
      <c r="H196" s="396">
        <f>G196*'Тарифные ставки'!$B$13</f>
        <v>1987.7950560000002</v>
      </c>
      <c r="I196" s="396">
        <f>H196*'Тарифные ставки'!$B$14*'Тарифные ставки'!$B$15</f>
        <v>2409.207607872</v>
      </c>
      <c r="J196" s="399">
        <f>I196-I196/'Тарифные ставки'!$B$15</f>
        <v>401.53460131199995</v>
      </c>
      <c r="K196" s="376">
        <v>2013.3416160000002</v>
      </c>
      <c r="L196" s="376">
        <f>I196/K196*100-100</f>
        <v>19.66213725112806</v>
      </c>
      <c r="M196" s="3">
        <v>2309</v>
      </c>
      <c r="N196" s="358">
        <f t="shared" si="10"/>
        <v>95.84064040207348</v>
      </c>
    </row>
    <row r="197" spans="1:14" ht="15.75" customHeight="1" hidden="1">
      <c r="A197" s="320"/>
      <c r="B197" s="41" t="s">
        <v>1243</v>
      </c>
      <c r="C197" s="343"/>
      <c r="D197" s="205" t="s">
        <v>2309</v>
      </c>
      <c r="E197" s="16">
        <f>128.84*1.15</f>
        <v>148.166</v>
      </c>
      <c r="F197" s="197">
        <v>6.2</v>
      </c>
      <c r="G197" s="16">
        <f t="shared" si="16"/>
        <v>918.6292</v>
      </c>
      <c r="H197" s="396">
        <f>G197*3.45</f>
        <v>3169.27074</v>
      </c>
      <c r="I197" s="396">
        <f>H197*1.05*1.2</f>
        <v>3993.2811324</v>
      </c>
      <c r="J197" s="396"/>
      <c r="N197" s="358">
        <f t="shared" si="10"/>
        <v>0</v>
      </c>
    </row>
    <row r="198" spans="1:14" ht="15.75" customHeight="1" hidden="1">
      <c r="A198" s="320"/>
      <c r="B198" s="41" t="s">
        <v>1244</v>
      </c>
      <c r="C198" s="343"/>
      <c r="D198" s="205" t="s">
        <v>2309</v>
      </c>
      <c r="E198" s="16">
        <f>128.84*1.15</f>
        <v>148.166</v>
      </c>
      <c r="F198" s="197">
        <v>7.75</v>
      </c>
      <c r="G198" s="16">
        <f t="shared" si="16"/>
        <v>1148.2865</v>
      </c>
      <c r="H198" s="396">
        <f>G198*3.45</f>
        <v>3961.588425</v>
      </c>
      <c r="I198" s="396">
        <f>H198*1.05*1.2</f>
        <v>4991.6014155</v>
      </c>
      <c r="J198" s="396"/>
      <c r="N198" s="358">
        <f t="shared" si="10"/>
        <v>0</v>
      </c>
    </row>
    <row r="199" spans="1:14" ht="15.75" customHeight="1" hidden="1">
      <c r="A199" s="321"/>
      <c r="B199" s="42" t="s">
        <v>1245</v>
      </c>
      <c r="C199" s="438"/>
      <c r="D199" s="205" t="s">
        <v>2309</v>
      </c>
      <c r="E199" s="16">
        <f>128.84*1.15</f>
        <v>148.166</v>
      </c>
      <c r="F199" s="200">
        <v>9</v>
      </c>
      <c r="G199" s="28">
        <f t="shared" si="16"/>
        <v>1333.494</v>
      </c>
      <c r="H199" s="399">
        <f>G199*3.45</f>
        <v>4600.5543</v>
      </c>
      <c r="I199" s="396">
        <f>H199*1.05*1.2</f>
        <v>5796.698418</v>
      </c>
      <c r="J199" s="399"/>
      <c r="N199" s="358">
        <f t="shared" si="10"/>
        <v>0</v>
      </c>
    </row>
    <row r="200" spans="1:14" ht="15.75">
      <c r="A200" s="144" t="s">
        <v>183</v>
      </c>
      <c r="B200" s="31" t="s">
        <v>1246</v>
      </c>
      <c r="C200" s="343" t="s">
        <v>182</v>
      </c>
      <c r="D200" s="29"/>
      <c r="E200" s="16"/>
      <c r="F200" s="29"/>
      <c r="G200" s="368"/>
      <c r="H200" s="450"/>
      <c r="I200" s="450"/>
      <c r="J200" s="450"/>
      <c r="N200" s="358"/>
    </row>
    <row r="201" spans="1:14" ht="15.75">
      <c r="A201" s="144"/>
      <c r="B201" s="41" t="s">
        <v>1289</v>
      </c>
      <c r="C201" s="343"/>
      <c r="D201" s="205" t="s">
        <v>2309</v>
      </c>
      <c r="E201" s="16">
        <f>'Тарифные ставки'!$B$6</f>
        <v>148.166</v>
      </c>
      <c r="F201" s="16">
        <v>1.5</v>
      </c>
      <c r="G201" s="16">
        <f>E201*F201</f>
        <v>222.249</v>
      </c>
      <c r="H201" s="396">
        <f>G201*'Тарифные ставки'!$B$13</f>
        <v>573.40242</v>
      </c>
      <c r="I201" s="396">
        <f>H201*'Тарифные ставки'!$B$14*'Тарифные ставки'!$B$15</f>
        <v>694.96373304</v>
      </c>
      <c r="J201" s="396">
        <f>I201-I201/'Тарифные ставки'!$B$15</f>
        <v>115.82728883999994</v>
      </c>
      <c r="K201" s="376">
        <v>580.7716200000001</v>
      </c>
      <c r="L201" s="376">
        <f>I201/K201*100-100</f>
        <v>19.662137251128044</v>
      </c>
      <c r="M201" s="3">
        <v>669</v>
      </c>
      <c r="N201" s="358">
        <f aca="true" t="shared" si="17" ref="N201:N264">M201/I201*100</f>
        <v>96.26401611974397</v>
      </c>
    </row>
    <row r="202" spans="1:14" ht="15.75">
      <c r="A202" s="144"/>
      <c r="B202" s="41" t="s">
        <v>1240</v>
      </c>
      <c r="C202" s="343"/>
      <c r="D202" s="205" t="s">
        <v>2309</v>
      </c>
      <c r="E202" s="16">
        <f>'Тарифные ставки'!$B$6</f>
        <v>148.166</v>
      </c>
      <c r="F202" s="16">
        <v>2</v>
      </c>
      <c r="G202" s="16">
        <f aca="true" t="shared" si="18" ref="G202:G207">E202*F202</f>
        <v>296.332</v>
      </c>
      <c r="H202" s="396">
        <f>G202*'Тарифные ставки'!$B$13</f>
        <v>764.53656</v>
      </c>
      <c r="I202" s="396">
        <f>H202*'Тарифные ставки'!$B$14*'Тарифные ставки'!$B$15</f>
        <v>926.61831072</v>
      </c>
      <c r="J202" s="396">
        <f>I202-I202/'Тарифные ставки'!$B$15</f>
        <v>154.43638511999995</v>
      </c>
      <c r="K202" s="376">
        <v>774.36216</v>
      </c>
      <c r="L202" s="376">
        <f>I202/K202*100-100</f>
        <v>19.66213725112806</v>
      </c>
      <c r="M202" s="3">
        <v>892</v>
      </c>
      <c r="N202" s="358">
        <f t="shared" si="17"/>
        <v>96.26401611974397</v>
      </c>
    </row>
    <row r="203" spans="1:14" ht="15.75">
      <c r="A203" s="144"/>
      <c r="B203" s="41" t="s">
        <v>1241</v>
      </c>
      <c r="C203" s="343"/>
      <c r="D203" s="205" t="s">
        <v>2309</v>
      </c>
      <c r="E203" s="16">
        <f>'Тарифные ставки'!$B$6</f>
        <v>148.166</v>
      </c>
      <c r="F203" s="16">
        <v>2.75</v>
      </c>
      <c r="G203" s="16">
        <f t="shared" si="18"/>
        <v>407.4565</v>
      </c>
      <c r="H203" s="396">
        <f>G203*'Тарифные ставки'!$B$13</f>
        <v>1051.23777</v>
      </c>
      <c r="I203" s="396">
        <f>H203*'Тарифные ставки'!$B$14*'Тарифные ставки'!$B$15</f>
        <v>1274.10017724</v>
      </c>
      <c r="J203" s="396">
        <f>I203-I203/'Тарифные ставки'!$B$15</f>
        <v>212.35002953999992</v>
      </c>
      <c r="K203" s="376">
        <v>1064.74797</v>
      </c>
      <c r="L203" s="376">
        <f>I203/K203*100-100</f>
        <v>19.662137251128087</v>
      </c>
      <c r="M203" s="3">
        <v>1224</v>
      </c>
      <c r="N203" s="358">
        <f t="shared" si="17"/>
        <v>96.06779920959366</v>
      </c>
    </row>
    <row r="204" spans="1:14" ht="15.75">
      <c r="A204" s="144"/>
      <c r="B204" s="41" t="s">
        <v>1242</v>
      </c>
      <c r="C204" s="343"/>
      <c r="D204" s="205" t="s">
        <v>2309</v>
      </c>
      <c r="E204" s="16">
        <f>'Тарифные ставки'!$B$6</f>
        <v>148.166</v>
      </c>
      <c r="F204" s="16">
        <v>3.8</v>
      </c>
      <c r="G204" s="16">
        <f t="shared" si="18"/>
        <v>563.0308</v>
      </c>
      <c r="H204" s="396">
        <f>G204*'Тарифные ставки'!$B$13</f>
        <v>1452.619464</v>
      </c>
      <c r="I204" s="396">
        <f>H204*'Тарифные ставки'!$B$14*'Тарифные ставки'!$B$15</f>
        <v>1760.574790368</v>
      </c>
      <c r="J204" s="396">
        <f>I204-I204/'Тарифные ставки'!$B$15</f>
        <v>293.4291317279999</v>
      </c>
      <c r="K204" s="376">
        <v>1471.2881040000002</v>
      </c>
      <c r="L204" s="376">
        <f>I204/K204*100-100</f>
        <v>19.66213725112806</v>
      </c>
      <c r="M204" s="3">
        <v>1688</v>
      </c>
      <c r="N204" s="358">
        <f t="shared" si="17"/>
        <v>95.87777862292177</v>
      </c>
    </row>
    <row r="205" spans="1:14" ht="15.75">
      <c r="A205" s="145"/>
      <c r="B205" s="42" t="s">
        <v>1243</v>
      </c>
      <c r="C205" s="438"/>
      <c r="D205" s="205" t="s">
        <v>2309</v>
      </c>
      <c r="E205" s="16">
        <f>'Тарифные ставки'!$B$6</f>
        <v>148.166</v>
      </c>
      <c r="F205" s="28">
        <v>5.5</v>
      </c>
      <c r="G205" s="28">
        <f t="shared" si="18"/>
        <v>814.913</v>
      </c>
      <c r="H205" s="396">
        <f>G205*'Тарифные ставки'!$B$13</f>
        <v>2102.47554</v>
      </c>
      <c r="I205" s="396">
        <f>H205*'Тарифные ставки'!$B$14*'Тарифные ставки'!$B$15</f>
        <v>2548.20035448</v>
      </c>
      <c r="J205" s="399">
        <f>I205-I205/'Тарифные ставки'!$B$15</f>
        <v>424.70005907999985</v>
      </c>
      <c r="K205" s="376">
        <v>2129.49594</v>
      </c>
      <c r="L205" s="376">
        <f>I205/K205*100-100</f>
        <v>19.662137251128087</v>
      </c>
      <c r="M205" s="3">
        <v>2443</v>
      </c>
      <c r="N205" s="358">
        <f t="shared" si="17"/>
        <v>95.87158229944333</v>
      </c>
    </row>
    <row r="206" spans="1:14" ht="15.75" customHeight="1" hidden="1">
      <c r="A206" s="324" t="s">
        <v>184</v>
      </c>
      <c r="B206" s="631" t="s">
        <v>185</v>
      </c>
      <c r="C206" s="436" t="s">
        <v>186</v>
      </c>
      <c r="D206" s="206" t="s">
        <v>2306</v>
      </c>
      <c r="E206" s="16">
        <f aca="true" t="shared" si="19" ref="E206:E211">128.84*1.15</f>
        <v>148.166</v>
      </c>
      <c r="F206" s="29">
        <v>2.15</v>
      </c>
      <c r="G206" s="29">
        <f t="shared" si="18"/>
        <v>318.5569</v>
      </c>
      <c r="H206" s="636">
        <f>(G206+G207)*3.45</f>
        <v>2198.04261</v>
      </c>
      <c r="I206" s="636"/>
      <c r="J206" s="636"/>
      <c r="N206" s="358" t="e">
        <f t="shared" si="17"/>
        <v>#DIV/0!</v>
      </c>
    </row>
    <row r="207" spans="1:14" ht="15.75" customHeight="1" hidden="1">
      <c r="A207" s="321"/>
      <c r="B207" s="632"/>
      <c r="C207" s="438"/>
      <c r="D207" s="207" t="s">
        <v>2309</v>
      </c>
      <c r="E207" s="16">
        <f t="shared" si="19"/>
        <v>148.166</v>
      </c>
      <c r="F207" s="28">
        <v>2.15</v>
      </c>
      <c r="G207" s="28">
        <f t="shared" si="18"/>
        <v>318.5569</v>
      </c>
      <c r="H207" s="642"/>
      <c r="I207" s="642"/>
      <c r="J207" s="642"/>
      <c r="N207" s="358" t="e">
        <f t="shared" si="17"/>
        <v>#DIV/0!</v>
      </c>
    </row>
    <row r="208" spans="1:14" ht="15.75" customHeight="1" hidden="1">
      <c r="A208" s="324" t="s">
        <v>187</v>
      </c>
      <c r="B208" s="631" t="s">
        <v>1247</v>
      </c>
      <c r="C208" s="436" t="s">
        <v>188</v>
      </c>
      <c r="D208" s="206" t="s">
        <v>2306</v>
      </c>
      <c r="E208" s="16">
        <f t="shared" si="19"/>
        <v>148.166</v>
      </c>
      <c r="F208" s="29">
        <v>2.5</v>
      </c>
      <c r="G208" s="29">
        <f>E208*F208</f>
        <v>370.41499999999996</v>
      </c>
      <c r="H208" s="636">
        <f>(G208+G209)*3.45</f>
        <v>2555.8635</v>
      </c>
      <c r="I208" s="636"/>
      <c r="J208" s="636"/>
      <c r="N208" s="358" t="e">
        <f t="shared" si="17"/>
        <v>#DIV/0!</v>
      </c>
    </row>
    <row r="209" spans="1:14" ht="15.75" customHeight="1" hidden="1">
      <c r="A209" s="321"/>
      <c r="B209" s="632"/>
      <c r="C209" s="438"/>
      <c r="D209" s="207" t="s">
        <v>2309</v>
      </c>
      <c r="E209" s="16">
        <f t="shared" si="19"/>
        <v>148.166</v>
      </c>
      <c r="F209" s="28">
        <v>2.5</v>
      </c>
      <c r="G209" s="28">
        <f>E209*F209</f>
        <v>370.41499999999996</v>
      </c>
      <c r="H209" s="642"/>
      <c r="I209" s="642"/>
      <c r="J209" s="642"/>
      <c r="N209" s="358" t="e">
        <f t="shared" si="17"/>
        <v>#DIV/0!</v>
      </c>
    </row>
    <row r="210" spans="1:14" ht="15.75" customHeight="1" hidden="1">
      <c r="A210" s="324" t="s">
        <v>189</v>
      </c>
      <c r="B210" s="631" t="s">
        <v>1248</v>
      </c>
      <c r="C210" s="342" t="s">
        <v>190</v>
      </c>
      <c r="D210" s="203" t="s">
        <v>2306</v>
      </c>
      <c r="E210" s="16">
        <f t="shared" si="19"/>
        <v>148.166</v>
      </c>
      <c r="F210" s="29">
        <v>3.5</v>
      </c>
      <c r="G210" s="29">
        <f>E210*F210</f>
        <v>518.581</v>
      </c>
      <c r="H210" s="636">
        <f>(G210+G211)*3.45</f>
        <v>3578.2089</v>
      </c>
      <c r="I210" s="636"/>
      <c r="J210" s="636"/>
      <c r="N210" s="358" t="e">
        <f t="shared" si="17"/>
        <v>#DIV/0!</v>
      </c>
    </row>
    <row r="211" spans="1:14" ht="15.75" customHeight="1" hidden="1">
      <c r="A211" s="321"/>
      <c r="B211" s="632"/>
      <c r="C211" s="344"/>
      <c r="D211" s="205" t="s">
        <v>2309</v>
      </c>
      <c r="E211" s="16">
        <f t="shared" si="19"/>
        <v>148.166</v>
      </c>
      <c r="F211" s="28">
        <v>3.5</v>
      </c>
      <c r="G211" s="28">
        <f>E211*F211</f>
        <v>518.581</v>
      </c>
      <c r="H211" s="642"/>
      <c r="I211" s="642"/>
      <c r="J211" s="642"/>
      <c r="N211" s="358" t="e">
        <f t="shared" si="17"/>
        <v>#DIV/0!</v>
      </c>
    </row>
    <row r="212" spans="1:14" ht="15.75">
      <c r="A212" s="144" t="s">
        <v>191</v>
      </c>
      <c r="B212" s="11" t="s">
        <v>1249</v>
      </c>
      <c r="C212" s="368" t="s">
        <v>192</v>
      </c>
      <c r="D212" s="198"/>
      <c r="E212" s="16"/>
      <c r="F212" s="199"/>
      <c r="G212" s="29"/>
      <c r="H212" s="400"/>
      <c r="I212" s="400"/>
      <c r="J212" s="400"/>
      <c r="N212" s="358"/>
    </row>
    <row r="213" spans="1:14" ht="15.75">
      <c r="A213" s="144"/>
      <c r="B213" s="624" t="s">
        <v>1289</v>
      </c>
      <c r="C213" s="451"/>
      <c r="D213" s="209" t="s">
        <v>2306</v>
      </c>
      <c r="E213" s="16">
        <f>'Тарифные ставки'!$B$4</f>
        <v>148.166</v>
      </c>
      <c r="F213" s="197">
        <v>1.2</v>
      </c>
      <c r="G213" s="16">
        <f aca="true" t="shared" si="20" ref="G213:G224">E213*F213</f>
        <v>177.79919999999998</v>
      </c>
      <c r="H213" s="610">
        <f>(G213+G214)*'Тарифные ставки'!$B$13</f>
        <v>917.4438719999999</v>
      </c>
      <c r="I213" s="610">
        <f>H213*'Тарифные ставки'!$B$14*'Тарифные ставки'!$B$15</f>
        <v>1111.9419728639998</v>
      </c>
      <c r="J213" s="636">
        <f>I213-I213/'Тарифные ставки'!$B$15</f>
        <v>185.32366214399997</v>
      </c>
      <c r="K213" s="376">
        <v>929.234592</v>
      </c>
      <c r="L213" s="376">
        <f>I213/K213*100-100</f>
        <v>19.66213725112806</v>
      </c>
      <c r="M213" s="3">
        <v>1570</v>
      </c>
      <c r="N213" s="358">
        <f t="shared" si="17"/>
        <v>141.19441826233</v>
      </c>
    </row>
    <row r="214" spans="1:14" ht="15.75" hidden="1">
      <c r="A214" s="144"/>
      <c r="B214" s="624"/>
      <c r="C214" s="451"/>
      <c r="D214" s="210" t="s">
        <v>2309</v>
      </c>
      <c r="E214" s="16">
        <f>'Тарифные ставки'!$B$6</f>
        <v>148.166</v>
      </c>
      <c r="F214" s="197">
        <v>1.2</v>
      </c>
      <c r="G214" s="16">
        <f t="shared" si="20"/>
        <v>177.79919999999998</v>
      </c>
      <c r="H214" s="610"/>
      <c r="I214" s="610">
        <f>H214*'Тарифные ставки'!$B$14*'Тарифные ставки'!$B$15</f>
        <v>0</v>
      </c>
      <c r="J214" s="642">
        <f>I214-I214/'Тарифные ставки'!$B$15</f>
        <v>0</v>
      </c>
      <c r="N214" s="358"/>
    </row>
    <row r="215" spans="1:14" ht="15.75">
      <c r="A215" s="144"/>
      <c r="B215" s="624" t="s">
        <v>1281</v>
      </c>
      <c r="C215" s="451"/>
      <c r="D215" s="209" t="s">
        <v>2306</v>
      </c>
      <c r="E215" s="16">
        <f>'Тарифные ставки'!$B$4</f>
        <v>148.166</v>
      </c>
      <c r="F215" s="197">
        <v>1.8</v>
      </c>
      <c r="G215" s="16">
        <f t="shared" si="20"/>
        <v>266.6988</v>
      </c>
      <c r="H215" s="610">
        <f>(G215+G216)*'Тарифные ставки'!$B$13</f>
        <v>1376.165808</v>
      </c>
      <c r="I215" s="610">
        <f>H215*'Тарифные ставки'!$B$14*'Тарифные ставки'!$B$15</f>
        <v>1667.9129592959998</v>
      </c>
      <c r="J215" s="636">
        <f>I215-I215/'Тарифные ставки'!$B$15</f>
        <v>277.9854932159999</v>
      </c>
      <c r="K215" s="376">
        <v>1393.8518880000001</v>
      </c>
      <c r="L215" s="376">
        <f>I215/K215*100-100</f>
        <v>19.662137251128044</v>
      </c>
      <c r="M215" s="3">
        <v>2173</v>
      </c>
      <c r="N215" s="358">
        <f t="shared" si="17"/>
        <v>130.282577870082</v>
      </c>
    </row>
    <row r="216" spans="1:14" ht="15.75" hidden="1">
      <c r="A216" s="144"/>
      <c r="B216" s="624"/>
      <c r="C216" s="451"/>
      <c r="D216" s="210" t="s">
        <v>2309</v>
      </c>
      <c r="E216" s="16">
        <f>'Тарифные ставки'!$B$6</f>
        <v>148.166</v>
      </c>
      <c r="F216" s="197">
        <v>1.8</v>
      </c>
      <c r="G216" s="16">
        <f t="shared" si="20"/>
        <v>266.6988</v>
      </c>
      <c r="H216" s="610"/>
      <c r="I216" s="610">
        <f>H216*'Тарифные ставки'!$B$14*'Тарифные ставки'!$B$15</f>
        <v>0</v>
      </c>
      <c r="J216" s="642">
        <f>I216-I216/'Тарифные ставки'!$B$15</f>
        <v>0</v>
      </c>
      <c r="N216" s="358"/>
    </row>
    <row r="217" spans="1:14" ht="15.75">
      <c r="A217" s="144"/>
      <c r="B217" s="624" t="s">
        <v>1282</v>
      </c>
      <c r="C217" s="340"/>
      <c r="D217" s="209" t="s">
        <v>2306</v>
      </c>
      <c r="E217" s="16">
        <f>'Тарифные ставки'!$B$4</f>
        <v>148.166</v>
      </c>
      <c r="F217" s="197">
        <v>2.88</v>
      </c>
      <c r="G217" s="16">
        <f t="shared" si="20"/>
        <v>426.71808</v>
      </c>
      <c r="H217" s="610">
        <f>(G217+G218)*'Тарифные ставки'!$B$13</f>
        <v>2201.8652928</v>
      </c>
      <c r="I217" s="610">
        <f>H217*'Тарифные ставки'!$B$14*'Тарифные ставки'!$B$15</f>
        <v>2668.6607348736</v>
      </c>
      <c r="J217" s="636">
        <f>I217-I217/'Тарифные ставки'!$B$15</f>
        <v>444.7767891456001</v>
      </c>
      <c r="K217" s="376">
        <v>2230.1630208</v>
      </c>
      <c r="L217" s="376">
        <f>I217/K217*100-100</f>
        <v>19.662137251128087</v>
      </c>
      <c r="M217" s="3">
        <v>3440</v>
      </c>
      <c r="N217" s="358">
        <f t="shared" si="17"/>
        <v>128.90360902930337</v>
      </c>
    </row>
    <row r="218" spans="1:14" ht="15.75" hidden="1">
      <c r="A218" s="144"/>
      <c r="B218" s="624"/>
      <c r="C218" s="340"/>
      <c r="D218" s="210" t="s">
        <v>2309</v>
      </c>
      <c r="E218" s="16">
        <f>'Тарифные ставки'!$B$6</f>
        <v>148.166</v>
      </c>
      <c r="F218" s="197">
        <v>2.88</v>
      </c>
      <c r="G218" s="16">
        <f t="shared" si="20"/>
        <v>426.71808</v>
      </c>
      <c r="H218" s="610"/>
      <c r="I218" s="610">
        <f>H218*'Тарифные ставки'!$B$14*'Тарифные ставки'!$B$15</f>
        <v>0</v>
      </c>
      <c r="J218" s="642">
        <f>I218-I218/'Тарифные ставки'!$B$15</f>
        <v>0</v>
      </c>
      <c r="N218" s="358"/>
    </row>
    <row r="219" spans="1:14" ht="15.75" customHeight="1" hidden="1">
      <c r="A219" s="320"/>
      <c r="B219" s="624" t="s">
        <v>1283</v>
      </c>
      <c r="C219" s="343"/>
      <c r="D219" s="209" t="s">
        <v>2306</v>
      </c>
      <c r="E219" s="16">
        <f aca="true" t="shared" si="21" ref="E219:E224">128.84*1.15</f>
        <v>148.166</v>
      </c>
      <c r="F219" s="197">
        <v>3.6</v>
      </c>
      <c r="G219" s="16">
        <f t="shared" si="20"/>
        <v>533.3976</v>
      </c>
      <c r="H219" s="625">
        <f>(G219+G220)*3.36</f>
        <v>3584.431872</v>
      </c>
      <c r="I219" s="625"/>
      <c r="J219" s="625"/>
      <c r="N219" s="358"/>
    </row>
    <row r="220" spans="1:14" ht="15.75" customHeight="1" hidden="1">
      <c r="A220" s="320"/>
      <c r="B220" s="624"/>
      <c r="C220" s="343"/>
      <c r="D220" s="210" t="s">
        <v>2309</v>
      </c>
      <c r="E220" s="16">
        <f t="shared" si="21"/>
        <v>148.166</v>
      </c>
      <c r="F220" s="197">
        <v>3.6</v>
      </c>
      <c r="G220" s="16">
        <f t="shared" si="20"/>
        <v>533.3976</v>
      </c>
      <c r="H220" s="625"/>
      <c r="I220" s="625"/>
      <c r="J220" s="625"/>
      <c r="N220" s="358"/>
    </row>
    <row r="221" spans="1:14" ht="15.75" customHeight="1" hidden="1">
      <c r="A221" s="320"/>
      <c r="B221" s="624" t="s">
        <v>1293</v>
      </c>
      <c r="C221" s="343"/>
      <c r="D221" s="209" t="s">
        <v>2306</v>
      </c>
      <c r="E221" s="16">
        <f t="shared" si="21"/>
        <v>148.166</v>
      </c>
      <c r="F221" s="197">
        <v>4.32</v>
      </c>
      <c r="G221" s="16">
        <f t="shared" si="20"/>
        <v>640.07712</v>
      </c>
      <c r="H221" s="625">
        <f>(G221+G222)*3.36</f>
        <v>6451.9773696</v>
      </c>
      <c r="I221" s="625"/>
      <c r="J221" s="625"/>
      <c r="N221" s="358"/>
    </row>
    <row r="222" spans="1:14" ht="15.75" customHeight="1" hidden="1">
      <c r="A222" s="320"/>
      <c r="B222" s="624"/>
      <c r="C222" s="343"/>
      <c r="D222" s="210" t="s">
        <v>2309</v>
      </c>
      <c r="E222" s="16">
        <f t="shared" si="21"/>
        <v>148.166</v>
      </c>
      <c r="F222" s="197">
        <v>8.64</v>
      </c>
      <c r="G222" s="16">
        <f t="shared" si="20"/>
        <v>1280.15424</v>
      </c>
      <c r="H222" s="625"/>
      <c r="I222" s="625"/>
      <c r="J222" s="625"/>
      <c r="N222" s="358"/>
    </row>
    <row r="223" spans="1:14" ht="15.75" customHeight="1" hidden="1">
      <c r="A223" s="320"/>
      <c r="B223" s="624" t="s">
        <v>1294</v>
      </c>
      <c r="C223" s="343"/>
      <c r="D223" s="209" t="s">
        <v>2306</v>
      </c>
      <c r="E223" s="16">
        <f t="shared" si="21"/>
        <v>148.166</v>
      </c>
      <c r="F223" s="197">
        <v>5.4</v>
      </c>
      <c r="G223" s="16">
        <f t="shared" si="20"/>
        <v>800.0964</v>
      </c>
      <c r="H223" s="625">
        <f>(G223+G224)*3.36</f>
        <v>3584.431872</v>
      </c>
      <c r="I223" s="625"/>
      <c r="J223" s="625"/>
      <c r="N223" s="358"/>
    </row>
    <row r="224" spans="1:14" ht="15.75" customHeight="1" hidden="1">
      <c r="A224" s="321"/>
      <c r="B224" s="643"/>
      <c r="C224" s="438"/>
      <c r="D224" s="210" t="s">
        <v>2309</v>
      </c>
      <c r="E224" s="16">
        <f t="shared" si="21"/>
        <v>148.166</v>
      </c>
      <c r="F224" s="200">
        <v>1.8</v>
      </c>
      <c r="G224" s="28">
        <f t="shared" si="20"/>
        <v>266.6988</v>
      </c>
      <c r="H224" s="625"/>
      <c r="I224" s="642"/>
      <c r="J224" s="642"/>
      <c r="N224" s="358"/>
    </row>
    <row r="225" spans="1:14" ht="15.75">
      <c r="A225" s="133" t="s">
        <v>193</v>
      </c>
      <c r="B225" s="11" t="s">
        <v>1250</v>
      </c>
      <c r="C225" s="368" t="s">
        <v>194</v>
      </c>
      <c r="D225" s="29"/>
      <c r="E225" s="16"/>
      <c r="F225" s="29"/>
      <c r="G225" s="29"/>
      <c r="H225" s="400"/>
      <c r="I225" s="400"/>
      <c r="J225" s="400"/>
      <c r="N225" s="358"/>
    </row>
    <row r="226" spans="1:14" ht="15.75">
      <c r="A226" s="134"/>
      <c r="B226" s="624" t="s">
        <v>1289</v>
      </c>
      <c r="C226" s="451"/>
      <c r="D226" s="205" t="s">
        <v>2309</v>
      </c>
      <c r="E226" s="16">
        <f>'Тарифные ставки'!$B$6</f>
        <v>148.166</v>
      </c>
      <c r="F226" s="16">
        <v>2.2</v>
      </c>
      <c r="G226" s="16">
        <f aca="true" t="shared" si="22" ref="G226:G231">E226*F226</f>
        <v>325.96520000000004</v>
      </c>
      <c r="H226" s="610">
        <f>(G226+G227)*'Тарифные ставки'!$B$13</f>
        <v>1681.9804320000003</v>
      </c>
      <c r="I226" s="610">
        <f>H226*'Тарифные ставки'!$B$14*'Тарифные ставки'!$B$15</f>
        <v>2038.5602835840002</v>
      </c>
      <c r="J226" s="636">
        <f>I226-I226/'Тарифные ставки'!$B$15</f>
        <v>339.7600472639999</v>
      </c>
      <c r="K226" s="376">
        <v>1703.5967520000004</v>
      </c>
      <c r="L226" s="376">
        <f>I226/K226*100-100</f>
        <v>19.66213725112806</v>
      </c>
      <c r="N226" s="358">
        <f t="shared" si="17"/>
        <v>0</v>
      </c>
    </row>
    <row r="227" spans="1:14" ht="15.75" hidden="1">
      <c r="A227" s="134"/>
      <c r="B227" s="624"/>
      <c r="C227" s="451"/>
      <c r="D227" s="205" t="s">
        <v>2309</v>
      </c>
      <c r="E227" s="16">
        <f>'Тарифные ставки'!$B$6</f>
        <v>148.166</v>
      </c>
      <c r="F227" s="16">
        <v>2.2</v>
      </c>
      <c r="G227" s="16">
        <f t="shared" si="22"/>
        <v>325.96520000000004</v>
      </c>
      <c r="H227" s="610"/>
      <c r="I227" s="610">
        <f>H227*'Тарифные ставки'!$B$14*'Тарифные ставки'!$B$15</f>
        <v>0</v>
      </c>
      <c r="J227" s="642">
        <f>I227-I227/'Тарифные ставки'!$B$15</f>
        <v>0</v>
      </c>
      <c r="N227" s="358"/>
    </row>
    <row r="228" spans="1:14" ht="15.75">
      <c r="A228" s="135"/>
      <c r="B228" s="624" t="s">
        <v>1301</v>
      </c>
      <c r="C228" s="340"/>
      <c r="D228" s="205" t="s">
        <v>2309</v>
      </c>
      <c r="E228" s="16">
        <f>'Тарифные ставки'!$B$6</f>
        <v>148.166</v>
      </c>
      <c r="F228" s="16">
        <v>3.8</v>
      </c>
      <c r="G228" s="16">
        <f t="shared" si="22"/>
        <v>563.0308</v>
      </c>
      <c r="H228" s="610">
        <f>(G228+G229)*'Тарифные ставки'!$B$13</f>
        <v>2905.238928</v>
      </c>
      <c r="I228" s="610">
        <f>H228*'Тарифные ставки'!$B$14*'Тарифные ставки'!$B$15</f>
        <v>3521.149580736</v>
      </c>
      <c r="J228" s="636">
        <f>I228-I228/'Тарифные ставки'!$B$15</f>
        <v>586.8582634559998</v>
      </c>
      <c r="K228" s="376">
        <v>2942.5762080000004</v>
      </c>
      <c r="L228" s="376">
        <f>I228/K228*100-100</f>
        <v>19.66213725112806</v>
      </c>
      <c r="N228" s="358">
        <f t="shared" si="17"/>
        <v>0</v>
      </c>
    </row>
    <row r="229" spans="1:14" ht="15.75" hidden="1">
      <c r="A229" s="135"/>
      <c r="B229" s="643"/>
      <c r="C229" s="438"/>
      <c r="D229" s="207" t="s">
        <v>2309</v>
      </c>
      <c r="E229" s="16">
        <f>'Тарифные ставки'!$B$6</f>
        <v>148.166</v>
      </c>
      <c r="F229" s="28">
        <v>3.8</v>
      </c>
      <c r="G229" s="28">
        <f t="shared" si="22"/>
        <v>563.0308</v>
      </c>
      <c r="H229" s="610"/>
      <c r="I229" s="610">
        <f>H229*'Тарифные ставки'!$B$14*'Тарифные ставки'!$B$15</f>
        <v>0</v>
      </c>
      <c r="J229" s="642">
        <f>I229-I229/'Тарифные ставки'!$B$15</f>
        <v>0</v>
      </c>
      <c r="N229" s="358"/>
    </row>
    <row r="230" spans="1:14" ht="15.75" customHeight="1" hidden="1">
      <c r="A230" s="322"/>
      <c r="B230" s="624" t="s">
        <v>1242</v>
      </c>
      <c r="C230" s="343"/>
      <c r="D230" s="205" t="s">
        <v>2309</v>
      </c>
      <c r="E230" s="16">
        <f>128.84*1.15</f>
        <v>148.166</v>
      </c>
      <c r="F230" s="16">
        <v>7.5</v>
      </c>
      <c r="G230" s="16">
        <f t="shared" si="22"/>
        <v>1111.245</v>
      </c>
      <c r="H230" s="625">
        <f>(G230+G231)*3.45</f>
        <v>7667.590499999999</v>
      </c>
      <c r="I230" s="625"/>
      <c r="J230" s="625"/>
      <c r="N230" s="358"/>
    </row>
    <row r="231" spans="1:14" ht="15.75" customHeight="1" hidden="1">
      <c r="A231" s="323"/>
      <c r="B231" s="643"/>
      <c r="C231" s="438"/>
      <c r="D231" s="205" t="s">
        <v>2309</v>
      </c>
      <c r="E231" s="16">
        <f>128.84*1.15</f>
        <v>148.166</v>
      </c>
      <c r="F231" s="28">
        <v>7.5</v>
      </c>
      <c r="G231" s="28">
        <f t="shared" si="22"/>
        <v>1111.245</v>
      </c>
      <c r="H231" s="642"/>
      <c r="I231" s="642"/>
      <c r="J231" s="642"/>
      <c r="N231" s="358"/>
    </row>
    <row r="232" spans="1:14" ht="15.75">
      <c r="A232" s="144" t="s">
        <v>195</v>
      </c>
      <c r="B232" s="11" t="s">
        <v>550</v>
      </c>
      <c r="C232" s="343" t="s">
        <v>180</v>
      </c>
      <c r="D232" s="29"/>
      <c r="E232" s="16"/>
      <c r="F232" s="29"/>
      <c r="G232" s="29"/>
      <c r="H232" s="400"/>
      <c r="I232" s="400"/>
      <c r="J232" s="400"/>
      <c r="N232" s="358"/>
    </row>
    <row r="233" spans="1:14" ht="15.75">
      <c r="A233" s="144"/>
      <c r="B233" s="14" t="s">
        <v>1717</v>
      </c>
      <c r="C233" s="343"/>
      <c r="D233" s="205" t="s">
        <v>2309</v>
      </c>
      <c r="E233" s="16">
        <f>'Тарифные ставки'!$B$6</f>
        <v>148.166</v>
      </c>
      <c r="F233" s="16">
        <v>1.7</v>
      </c>
      <c r="G233" s="16">
        <f>E233*F233</f>
        <v>251.88219999999998</v>
      </c>
      <c r="H233" s="396">
        <f>G233*'Тарифные ставки'!$B$13</f>
        <v>649.856076</v>
      </c>
      <c r="I233" s="396">
        <f>H233*'Тарифные ставки'!$B$14*'Тарифные ставки'!$B$15</f>
        <v>787.625564112</v>
      </c>
      <c r="J233" s="396">
        <f>I233-I233/'Тарифные ставки'!$B$15</f>
        <v>131.27092735199994</v>
      </c>
      <c r="K233" s="376">
        <v>658.2078359999999</v>
      </c>
      <c r="L233" s="376">
        <f>I233/K233*100-100</f>
        <v>19.662137251128087</v>
      </c>
      <c r="M233" s="3">
        <v>758</v>
      </c>
      <c r="N233" s="358">
        <f t="shared" si="17"/>
        <v>96.23862334313628</v>
      </c>
    </row>
    <row r="234" spans="1:14" ht="15.75">
      <c r="A234" s="145"/>
      <c r="B234" s="26" t="s">
        <v>1282</v>
      </c>
      <c r="C234" s="438"/>
      <c r="D234" s="207" t="s">
        <v>2309</v>
      </c>
      <c r="E234" s="16">
        <f>'Тарифные ставки'!$B$6</f>
        <v>148.166</v>
      </c>
      <c r="F234" s="28">
        <v>2.2</v>
      </c>
      <c r="G234" s="28">
        <f>E234*F234</f>
        <v>325.96520000000004</v>
      </c>
      <c r="H234" s="396">
        <f>G234*'Тарифные ставки'!$B$13</f>
        <v>840.9902160000001</v>
      </c>
      <c r="I234" s="396">
        <f>H234*'Тарифные ставки'!$B$14*'Тарифные ставки'!$B$15</f>
        <v>1019.2801417920001</v>
      </c>
      <c r="J234" s="399">
        <f>I234-I234/'Тарифные ставки'!$B$15</f>
        <v>169.88002363199996</v>
      </c>
      <c r="K234" s="376">
        <v>851.7983760000002</v>
      </c>
      <c r="L234" s="376">
        <f>I234/K234*100-100</f>
        <v>19.66213725112806</v>
      </c>
      <c r="M234" s="3">
        <v>979</v>
      </c>
      <c r="N234" s="358">
        <f t="shared" si="17"/>
        <v>96.0481775185786</v>
      </c>
    </row>
    <row r="235" spans="1:14" ht="15.75" customHeight="1" hidden="1">
      <c r="A235" s="320"/>
      <c r="B235" s="14" t="s">
        <v>1283</v>
      </c>
      <c r="C235" s="343"/>
      <c r="D235" s="205" t="s">
        <v>2309</v>
      </c>
      <c r="E235" s="16">
        <f>128.84*1.15</f>
        <v>148.166</v>
      </c>
      <c r="F235" s="16">
        <v>2.7</v>
      </c>
      <c r="G235" s="16">
        <f>E235*F235</f>
        <v>400.0482</v>
      </c>
      <c r="H235" s="396">
        <f>G235*3.45</f>
        <v>1380.1662900000001</v>
      </c>
      <c r="I235" s="396"/>
      <c r="J235" s="396"/>
      <c r="N235" s="358" t="e">
        <f t="shared" si="17"/>
        <v>#DIV/0!</v>
      </c>
    </row>
    <row r="236" spans="1:14" ht="15.75" customHeight="1" hidden="1">
      <c r="A236" s="321"/>
      <c r="B236" s="26" t="s">
        <v>1293</v>
      </c>
      <c r="C236" s="438"/>
      <c r="D236" s="205" t="s">
        <v>2309</v>
      </c>
      <c r="E236" s="16">
        <f>128.84*1.15</f>
        <v>148.166</v>
      </c>
      <c r="F236" s="28">
        <v>3.2</v>
      </c>
      <c r="G236" s="28">
        <f>E236*F236</f>
        <v>474.13120000000004</v>
      </c>
      <c r="H236" s="399">
        <f>G236*3.45</f>
        <v>1635.7526400000002</v>
      </c>
      <c r="I236" s="399"/>
      <c r="J236" s="399"/>
      <c r="N236" s="358" t="e">
        <f t="shared" si="17"/>
        <v>#DIV/0!</v>
      </c>
    </row>
    <row r="237" spans="1:14" ht="15.75">
      <c r="A237" s="144" t="s">
        <v>196</v>
      </c>
      <c r="B237" s="11" t="s">
        <v>551</v>
      </c>
      <c r="C237" s="343" t="s">
        <v>197</v>
      </c>
      <c r="D237" s="368"/>
      <c r="E237" s="16"/>
      <c r="F237" s="29"/>
      <c r="G237" s="29"/>
      <c r="H237" s="400"/>
      <c r="I237" s="400"/>
      <c r="J237" s="400"/>
      <c r="N237" s="358"/>
    </row>
    <row r="238" spans="1:14" ht="15.75">
      <c r="A238" s="144"/>
      <c r="B238" s="14" t="s">
        <v>1086</v>
      </c>
      <c r="C238" s="343"/>
      <c r="D238" s="205" t="s">
        <v>2309</v>
      </c>
      <c r="E238" s="16">
        <f>'Тарифные ставки'!$B$6</f>
        <v>148.166</v>
      </c>
      <c r="F238" s="16">
        <v>0.25</v>
      </c>
      <c r="G238" s="16">
        <f>E238*F238</f>
        <v>37.0415</v>
      </c>
      <c r="H238" s="610">
        <f>(G238+G239)*'Тарифные ставки'!$B$13</f>
        <v>191.13414</v>
      </c>
      <c r="I238" s="610">
        <f>H238*'Тарифные ставки'!$B$14*'Тарифные ставки'!$B$15</f>
        <v>231.65457768</v>
      </c>
      <c r="J238" s="636">
        <f>I238-I238/'Тарифные ставки'!$B$15</f>
        <v>38.60909627999999</v>
      </c>
      <c r="K238" s="376">
        <v>193.59054</v>
      </c>
      <c r="L238" s="376">
        <f>I238/K238*100-100</f>
        <v>19.66213725112806</v>
      </c>
      <c r="M238" s="3">
        <v>239</v>
      </c>
      <c r="N238" s="358">
        <f t="shared" si="17"/>
        <v>103.170851357035</v>
      </c>
    </row>
    <row r="239" spans="1:14" ht="15.75" hidden="1">
      <c r="A239" s="145"/>
      <c r="B239" s="26"/>
      <c r="C239" s="438"/>
      <c r="D239" s="207" t="s">
        <v>2309</v>
      </c>
      <c r="E239" s="16">
        <f>'Тарифные ставки'!$B$6</f>
        <v>148.166</v>
      </c>
      <c r="F239" s="28">
        <v>0.25</v>
      </c>
      <c r="G239" s="28">
        <f>E239*F239</f>
        <v>37.0415</v>
      </c>
      <c r="H239" s="610"/>
      <c r="I239" s="610">
        <f>H239*'Тарифные ставки'!$B$14*'Тарифные ставки'!$B$15</f>
        <v>0</v>
      </c>
      <c r="J239" s="642">
        <f>I239-I239/'Тарифные ставки'!$B$15</f>
        <v>0</v>
      </c>
      <c r="N239" s="358"/>
    </row>
    <row r="240" spans="1:14" ht="15.75" customHeight="1">
      <c r="A240" s="320"/>
      <c r="B240" s="14" t="s">
        <v>552</v>
      </c>
      <c r="C240" s="343"/>
      <c r="D240" s="205" t="s">
        <v>2309</v>
      </c>
      <c r="E240" s="16">
        <f>'Тарифные ставки'!$B$6</f>
        <v>148.166</v>
      </c>
      <c r="F240" s="16">
        <v>1</v>
      </c>
      <c r="G240" s="16">
        <f>E240*F240</f>
        <v>148.166</v>
      </c>
      <c r="H240" s="610">
        <f>(G240+G241)*'Тарифные ставки'!$B$13</f>
        <v>764.53656</v>
      </c>
      <c r="I240" s="610">
        <f>H240*'Тарифные ставки'!$B$14*'Тарифные ставки'!$B$15</f>
        <v>926.61831072</v>
      </c>
      <c r="J240" s="636">
        <f>I240-I240/'Тарифные ставки'!$B$15</f>
        <v>154.43638511999995</v>
      </c>
      <c r="M240" s="3">
        <v>954</v>
      </c>
      <c r="N240" s="358"/>
    </row>
    <row r="241" spans="1:14" ht="15.75" customHeight="1">
      <c r="A241" s="321"/>
      <c r="B241" s="26"/>
      <c r="C241" s="438"/>
      <c r="D241" s="207" t="s">
        <v>2309</v>
      </c>
      <c r="E241" s="28">
        <f>'Тарифные ставки'!$B$6</f>
        <v>148.166</v>
      </c>
      <c r="F241" s="28">
        <v>1</v>
      </c>
      <c r="G241" s="28">
        <f>E241*F241</f>
        <v>148.166</v>
      </c>
      <c r="H241" s="610"/>
      <c r="I241" s="610">
        <f>H241*'Тарифные ставки'!$B$14*'Тарифные ставки'!$B$15</f>
        <v>0</v>
      </c>
      <c r="J241" s="642">
        <f>I241-I241/'Тарифные ставки'!$B$15</f>
        <v>0</v>
      </c>
      <c r="N241" s="358"/>
    </row>
    <row r="242" spans="1:14" ht="45.75" customHeight="1">
      <c r="A242" s="328" t="s">
        <v>83</v>
      </c>
      <c r="B242" s="313" t="s">
        <v>82</v>
      </c>
      <c r="C242" s="315" t="s">
        <v>77</v>
      </c>
      <c r="D242" s="313" t="s">
        <v>81</v>
      </c>
      <c r="E242" s="314" t="s">
        <v>85</v>
      </c>
      <c r="F242" s="314" t="s">
        <v>78</v>
      </c>
      <c r="G242" s="314" t="s">
        <v>79</v>
      </c>
      <c r="H242" s="393" t="s">
        <v>80</v>
      </c>
      <c r="I242" s="394" t="s">
        <v>843</v>
      </c>
      <c r="J242" s="393" t="s">
        <v>2349</v>
      </c>
      <c r="N242" s="358"/>
    </row>
    <row r="243" spans="1:14" ht="31.5">
      <c r="A243" s="144" t="s">
        <v>198</v>
      </c>
      <c r="B243" s="11" t="s">
        <v>553</v>
      </c>
      <c r="C243" s="343" t="s">
        <v>197</v>
      </c>
      <c r="D243" s="368"/>
      <c r="E243" s="16"/>
      <c r="F243" s="29"/>
      <c r="G243" s="29"/>
      <c r="H243" s="400"/>
      <c r="I243" s="400"/>
      <c r="J243" s="400"/>
      <c r="N243" s="358"/>
    </row>
    <row r="244" spans="1:14" ht="15.75">
      <c r="A244" s="144"/>
      <c r="B244" s="14" t="s">
        <v>1296</v>
      </c>
      <c r="C244" s="343"/>
      <c r="D244" s="205" t="s">
        <v>2309</v>
      </c>
      <c r="E244" s="16">
        <f>'Тарифные ставки'!$B$6</f>
        <v>148.166</v>
      </c>
      <c r="F244" s="16">
        <v>0.2</v>
      </c>
      <c r="G244" s="16">
        <f aca="true" t="shared" si="23" ref="G244:G276">E244*F244</f>
        <v>29.633200000000002</v>
      </c>
      <c r="H244" s="610">
        <f>(G244+G245)*'Тарифные ставки'!$B$13</f>
        <v>152.90731200000002</v>
      </c>
      <c r="I244" s="644">
        <f>H244*'Тарифные ставки'!$B$14*'Тарифные ставки'!$B$15</f>
        <v>185.323662144</v>
      </c>
      <c r="J244" s="636">
        <f>I244-I244/'Тарифные ставки'!$B$15</f>
        <v>30.887277023999985</v>
      </c>
      <c r="K244" s="376">
        <v>154.87243200000003</v>
      </c>
      <c r="L244" s="376">
        <f>I244/K244*100-100</f>
        <v>19.662137251128044</v>
      </c>
      <c r="M244" s="3">
        <v>178</v>
      </c>
      <c r="N244" s="358">
        <f t="shared" si="17"/>
        <v>96.04817751857861</v>
      </c>
    </row>
    <row r="245" spans="1:14" ht="15.75" hidden="1">
      <c r="A245" s="144"/>
      <c r="B245" s="14"/>
      <c r="C245" s="343"/>
      <c r="D245" s="205" t="s">
        <v>2309</v>
      </c>
      <c r="E245" s="16">
        <f>'Тарифные ставки'!$B$6</f>
        <v>148.166</v>
      </c>
      <c r="F245" s="16">
        <v>0.2</v>
      </c>
      <c r="G245" s="16">
        <f t="shared" si="23"/>
        <v>29.633200000000002</v>
      </c>
      <c r="H245" s="610"/>
      <c r="I245" s="644">
        <f>H245*'Тарифные ставки'!$B$14*'Тарифные ставки'!$B$15</f>
        <v>0</v>
      </c>
      <c r="J245" s="642">
        <f>I245-I245/'Тарифные ставки'!$B$15</f>
        <v>0</v>
      </c>
      <c r="N245" s="358"/>
    </row>
    <row r="246" spans="1:14" ht="15.75">
      <c r="A246" s="144"/>
      <c r="B246" s="14" t="s">
        <v>1281</v>
      </c>
      <c r="C246" s="343"/>
      <c r="D246" s="205" t="s">
        <v>2309</v>
      </c>
      <c r="E246" s="16">
        <f>'Тарифные ставки'!$B$6</f>
        <v>148.166</v>
      </c>
      <c r="F246" s="16">
        <v>0.25</v>
      </c>
      <c r="G246" s="16">
        <f t="shared" si="23"/>
        <v>37.0415</v>
      </c>
      <c r="H246" s="610">
        <f>(G246+G247)*'Тарифные ставки'!$B$13</f>
        <v>191.13414</v>
      </c>
      <c r="I246" s="644">
        <f>H246*'Тарифные ставки'!$B$14*'Тарифные ставки'!$B$15</f>
        <v>231.65457768</v>
      </c>
      <c r="J246" s="636">
        <f>I246-I246/'Тарифные ставки'!$B$15</f>
        <v>38.60909627999999</v>
      </c>
      <c r="K246" s="376">
        <v>193.59054</v>
      </c>
      <c r="L246" s="376">
        <f>I246/K246*100-100</f>
        <v>19.66213725112806</v>
      </c>
      <c r="M246" s="3">
        <v>223</v>
      </c>
      <c r="N246" s="358">
        <f t="shared" si="17"/>
        <v>96.26401611974397</v>
      </c>
    </row>
    <row r="247" spans="1:14" ht="15.75" hidden="1">
      <c r="A247" s="144"/>
      <c r="B247" s="14"/>
      <c r="C247" s="343"/>
      <c r="D247" s="205" t="s">
        <v>2309</v>
      </c>
      <c r="E247" s="16">
        <f>'Тарифные ставки'!$B$6</f>
        <v>148.166</v>
      </c>
      <c r="F247" s="16">
        <v>0.25</v>
      </c>
      <c r="G247" s="16">
        <f t="shared" si="23"/>
        <v>37.0415</v>
      </c>
      <c r="H247" s="610"/>
      <c r="I247" s="644">
        <f>H247*'Тарифные ставки'!$B$14*'Тарифные ставки'!$B$15</f>
        <v>0</v>
      </c>
      <c r="J247" s="642">
        <f>I247-I247/'Тарифные ставки'!$B$15</f>
        <v>0</v>
      </c>
      <c r="N247" s="358"/>
    </row>
    <row r="248" spans="1:14" ht="15.75">
      <c r="A248" s="144"/>
      <c r="B248" s="14" t="s">
        <v>1282</v>
      </c>
      <c r="C248" s="343"/>
      <c r="D248" s="205" t="s">
        <v>2309</v>
      </c>
      <c r="E248" s="16">
        <f>'Тарифные ставки'!$B$6</f>
        <v>148.166</v>
      </c>
      <c r="F248" s="16">
        <v>0.35</v>
      </c>
      <c r="G248" s="16">
        <f t="shared" si="23"/>
        <v>51.85809999999999</v>
      </c>
      <c r="H248" s="610">
        <f>(G248+G249)*'Тарифные ставки'!$B$13</f>
        <v>267.58779599999997</v>
      </c>
      <c r="I248" s="644">
        <f>H248*'Тарифные ставки'!$B$14*'Тарифные ставки'!$B$15</f>
        <v>324.3164087519999</v>
      </c>
      <c r="J248" s="636">
        <f>I248-I248/'Тарифные ставки'!$B$15</f>
        <v>54.05273479199997</v>
      </c>
      <c r="K248" s="376">
        <v>271.02675600000003</v>
      </c>
      <c r="L248" s="376">
        <f>I248/K248*100-100</f>
        <v>19.662137251128016</v>
      </c>
      <c r="M248" s="3">
        <v>334</v>
      </c>
      <c r="N248" s="358">
        <f t="shared" si="17"/>
        <v>102.98584684175044</v>
      </c>
    </row>
    <row r="249" spans="1:14" ht="15.75" customHeight="1" hidden="1">
      <c r="A249" s="144"/>
      <c r="B249" s="14"/>
      <c r="C249" s="343"/>
      <c r="D249" s="205" t="s">
        <v>2309</v>
      </c>
      <c r="E249" s="16">
        <f>'Тарифные ставки'!$B$6</f>
        <v>148.166</v>
      </c>
      <c r="F249" s="16">
        <v>0.35</v>
      </c>
      <c r="G249" s="16">
        <f t="shared" si="23"/>
        <v>51.85809999999999</v>
      </c>
      <c r="H249" s="610"/>
      <c r="I249" s="644">
        <f>H249*'Тарифные ставки'!$B$14*'Тарифные ставки'!$B$15</f>
        <v>0</v>
      </c>
      <c r="J249" s="642">
        <f>I249-I249/'Тарифные ставки'!$B$15</f>
        <v>0</v>
      </c>
      <c r="N249" s="358"/>
    </row>
    <row r="250" spans="1:14" ht="15.75" customHeight="1">
      <c r="A250" s="320"/>
      <c r="B250" s="14" t="s">
        <v>554</v>
      </c>
      <c r="C250" s="343"/>
      <c r="D250" s="205" t="s">
        <v>2309</v>
      </c>
      <c r="E250" s="16">
        <f>'Тарифные ставки'!$B$6</f>
        <v>148.166</v>
      </c>
      <c r="F250" s="16">
        <v>0.7</v>
      </c>
      <c r="G250" s="16">
        <f t="shared" si="23"/>
        <v>103.71619999999999</v>
      </c>
      <c r="H250" s="625">
        <f>SUM(G250:G251)*3.36</f>
        <v>696.9728639999998</v>
      </c>
      <c r="I250" s="644">
        <f>H250*'Тарифные ставки'!$B$14*'Тарифные ставки'!$B$15</f>
        <v>844.7311111679998</v>
      </c>
      <c r="J250" s="636">
        <f>I250-I250/'Тарифные ставки'!$B$15</f>
        <v>140.78851852799994</v>
      </c>
      <c r="N250" s="358"/>
    </row>
    <row r="251" spans="1:14" ht="15.75" customHeight="1" hidden="1">
      <c r="A251" s="321"/>
      <c r="B251" s="26"/>
      <c r="C251" s="438"/>
      <c r="D251" s="205" t="s">
        <v>2309</v>
      </c>
      <c r="E251" s="16">
        <f>'Тарифные ставки'!$B$6</f>
        <v>148.166</v>
      </c>
      <c r="F251" s="28">
        <v>0.7</v>
      </c>
      <c r="G251" s="28">
        <f t="shared" si="23"/>
        <v>103.71619999999999</v>
      </c>
      <c r="H251" s="625"/>
      <c r="I251" s="644">
        <f>H251*'Тарифные ставки'!$B$14*'Тарифные ставки'!$B$15</f>
        <v>0</v>
      </c>
      <c r="J251" s="642">
        <f>I251-I251/'Тарифные ставки'!$B$15</f>
        <v>0</v>
      </c>
      <c r="N251" s="358"/>
    </row>
    <row r="252" spans="1:14" ht="31.5">
      <c r="A252" s="139" t="s">
        <v>1896</v>
      </c>
      <c r="B252" s="39" t="s">
        <v>555</v>
      </c>
      <c r="C252" s="346" t="s">
        <v>197</v>
      </c>
      <c r="D252" s="208" t="s">
        <v>2309</v>
      </c>
      <c r="E252" s="16">
        <f>'Тарифные ставки'!$B$6</f>
        <v>148.166</v>
      </c>
      <c r="F252" s="34">
        <v>0.25</v>
      </c>
      <c r="G252" s="34">
        <f t="shared" si="23"/>
        <v>37.0415</v>
      </c>
      <c r="H252" s="398">
        <f>G252*'Тарифные ставки'!$B$13</f>
        <v>95.56707</v>
      </c>
      <c r="I252" s="398">
        <f>H252*'Тарифные ставки'!$B$14*'Тарифные ставки'!$B$15</f>
        <v>115.82728884</v>
      </c>
      <c r="J252" s="398">
        <f>I252-I252/'Тарифные ставки'!$B$15</f>
        <v>19.304548139999994</v>
      </c>
      <c r="K252" s="376">
        <v>95.1820155</v>
      </c>
      <c r="L252" s="376">
        <f aca="true" t="shared" si="24" ref="L252:L257">I252/K252*100-100</f>
        <v>21.690309068943805</v>
      </c>
      <c r="M252" s="3">
        <v>134</v>
      </c>
      <c r="N252" s="358">
        <f t="shared" si="17"/>
        <v>115.68949022462505</v>
      </c>
    </row>
    <row r="253" spans="1:14" ht="15.75" customHeight="1" hidden="1">
      <c r="A253" s="324" t="s">
        <v>1897</v>
      </c>
      <c r="B253" s="608" t="s">
        <v>556</v>
      </c>
      <c r="C253" s="436" t="s">
        <v>197</v>
      </c>
      <c r="D253" s="203" t="s">
        <v>2306</v>
      </c>
      <c r="E253" s="16">
        <f>128.84*1.15</f>
        <v>148.166</v>
      </c>
      <c r="F253" s="29">
        <v>1.36</v>
      </c>
      <c r="G253" s="29">
        <f t="shared" si="23"/>
        <v>201.50576</v>
      </c>
      <c r="H253" s="636">
        <f>SUM(G253:G254)*3.45</f>
        <v>1390.389744</v>
      </c>
      <c r="I253" s="636"/>
      <c r="J253" s="636">
        <f>I253-I253/'Тарифные ставки'!$B$15</f>
        <v>0</v>
      </c>
      <c r="L253" s="376" t="e">
        <f t="shared" si="24"/>
        <v>#DIV/0!</v>
      </c>
      <c r="N253" s="358" t="e">
        <f t="shared" si="17"/>
        <v>#DIV/0!</v>
      </c>
    </row>
    <row r="254" spans="1:14" ht="15.75" customHeight="1" hidden="1">
      <c r="A254" s="321"/>
      <c r="B254" s="609"/>
      <c r="C254" s="438"/>
      <c r="D254" s="205" t="s">
        <v>2309</v>
      </c>
      <c r="E254" s="16">
        <f>128.84*1.15</f>
        <v>148.166</v>
      </c>
      <c r="F254" s="28">
        <v>1.36</v>
      </c>
      <c r="G254" s="28">
        <f t="shared" si="23"/>
        <v>201.50576</v>
      </c>
      <c r="H254" s="642"/>
      <c r="I254" s="642"/>
      <c r="J254" s="642">
        <f>I254-I254/'Тарифные ставки'!$B$15</f>
        <v>0</v>
      </c>
      <c r="L254" s="376" t="e">
        <f t="shared" si="24"/>
        <v>#DIV/0!</v>
      </c>
      <c r="N254" s="358" t="e">
        <f t="shared" si="17"/>
        <v>#DIV/0!</v>
      </c>
    </row>
    <row r="255" spans="1:14" ht="15.75" customHeight="1" hidden="1">
      <c r="A255" s="324" t="s">
        <v>1898</v>
      </c>
      <c r="B255" s="608" t="s">
        <v>557</v>
      </c>
      <c r="C255" s="342" t="s">
        <v>1899</v>
      </c>
      <c r="D255" s="206" t="s">
        <v>2306</v>
      </c>
      <c r="E255" s="16">
        <f>128.84*1.15</f>
        <v>148.166</v>
      </c>
      <c r="F255" s="29">
        <v>0.91</v>
      </c>
      <c r="G255" s="29">
        <f t="shared" si="23"/>
        <v>134.83106</v>
      </c>
      <c r="H255" s="636">
        <f>SUM(G255:G256)*3.45</f>
        <v>930.3343140000001</v>
      </c>
      <c r="I255" s="636"/>
      <c r="J255" s="636">
        <f>I255-I255/'Тарифные ставки'!$B$15</f>
        <v>0</v>
      </c>
      <c r="L255" s="376" t="e">
        <f t="shared" si="24"/>
        <v>#DIV/0!</v>
      </c>
      <c r="N255" s="358" t="e">
        <f t="shared" si="17"/>
        <v>#DIV/0!</v>
      </c>
    </row>
    <row r="256" spans="1:14" ht="15.75" customHeight="1" hidden="1">
      <c r="A256" s="321"/>
      <c r="B256" s="609"/>
      <c r="C256" s="344"/>
      <c r="D256" s="207" t="s">
        <v>2309</v>
      </c>
      <c r="E256" s="16">
        <f>128.84*1.15</f>
        <v>148.166</v>
      </c>
      <c r="F256" s="28">
        <v>0.91</v>
      </c>
      <c r="G256" s="28">
        <f t="shared" si="23"/>
        <v>134.83106</v>
      </c>
      <c r="H256" s="642"/>
      <c r="I256" s="642"/>
      <c r="J256" s="642">
        <f>I256-I256/'Тарифные ставки'!$B$15</f>
        <v>0</v>
      </c>
      <c r="L256" s="376" t="e">
        <f t="shared" si="24"/>
        <v>#DIV/0!</v>
      </c>
      <c r="N256" s="358" t="e">
        <f t="shared" si="17"/>
        <v>#DIV/0!</v>
      </c>
    </row>
    <row r="257" spans="1:14" ht="15.75">
      <c r="A257" s="144" t="s">
        <v>1900</v>
      </c>
      <c r="B257" s="608" t="s">
        <v>558</v>
      </c>
      <c r="C257" s="343" t="s">
        <v>1901</v>
      </c>
      <c r="D257" s="203" t="s">
        <v>2306</v>
      </c>
      <c r="E257" s="16">
        <f>'Тарифные ставки'!$B$4</f>
        <v>148.166</v>
      </c>
      <c r="F257" s="199">
        <v>0.5</v>
      </c>
      <c r="G257" s="29">
        <f t="shared" si="23"/>
        <v>74.083</v>
      </c>
      <c r="H257" s="610">
        <f>(G257+G258)*'Тарифные ставки'!$B$13</f>
        <v>382.26828</v>
      </c>
      <c r="I257" s="644">
        <f>H257*'Тарифные ставки'!$B$14*'Тарифные ставки'!$B$15</f>
        <v>463.30915536</v>
      </c>
      <c r="J257" s="636">
        <f>I257-I257/'Тарифные ставки'!$B$15</f>
        <v>77.21819255999998</v>
      </c>
      <c r="K257" s="376">
        <v>387.18108</v>
      </c>
      <c r="L257" s="376">
        <f t="shared" si="24"/>
        <v>19.66213725112806</v>
      </c>
      <c r="M257" s="3">
        <v>501</v>
      </c>
      <c r="N257" s="358">
        <f t="shared" si="17"/>
        <v>108.13513918383795</v>
      </c>
    </row>
    <row r="258" spans="1:14" ht="15.75" hidden="1">
      <c r="A258" s="144"/>
      <c r="B258" s="634"/>
      <c r="C258" s="343"/>
      <c r="D258" s="205" t="s">
        <v>2309</v>
      </c>
      <c r="E258" s="16">
        <f>'Тарифные ставки'!$B$6</f>
        <v>148.166</v>
      </c>
      <c r="F258" s="197">
        <v>0.5</v>
      </c>
      <c r="G258" s="16">
        <f t="shared" si="23"/>
        <v>74.083</v>
      </c>
      <c r="H258" s="610"/>
      <c r="I258" s="644">
        <f>H258*'Тарифные ставки'!$B$14*'Тарифные ставки'!$B$15</f>
        <v>0</v>
      </c>
      <c r="J258" s="642">
        <f>I258-I258/'Тарифные ставки'!$B$15</f>
        <v>0</v>
      </c>
      <c r="N258" s="358"/>
    </row>
    <row r="259" spans="1:14" ht="15.75">
      <c r="A259" s="144"/>
      <c r="B259" s="624" t="s">
        <v>1282</v>
      </c>
      <c r="C259" s="442"/>
      <c r="D259" s="203" t="s">
        <v>2306</v>
      </c>
      <c r="E259" s="16">
        <f>'Тарифные ставки'!$B$4</f>
        <v>148.166</v>
      </c>
      <c r="F259" s="197">
        <v>0.7</v>
      </c>
      <c r="G259" s="16">
        <f t="shared" si="23"/>
        <v>103.71619999999999</v>
      </c>
      <c r="H259" s="610">
        <f>(G259+G260)*'Тарифные ставки'!$B$13</f>
        <v>535.1755919999999</v>
      </c>
      <c r="I259" s="644">
        <f>H259*'Тарифные ставки'!$B$14*'Тарифные ставки'!$B$15</f>
        <v>648.6328175039998</v>
      </c>
      <c r="J259" s="636">
        <f>I259-I259/'Тарифные ставки'!$B$15</f>
        <v>108.10546958399993</v>
      </c>
      <c r="K259" s="376">
        <v>542.0535120000001</v>
      </c>
      <c r="L259" s="376">
        <f>I259/K259*100-100</f>
        <v>19.662137251128016</v>
      </c>
      <c r="M259" s="3">
        <v>702</v>
      </c>
      <c r="N259" s="358">
        <f t="shared" si="17"/>
        <v>108.22764144148027</v>
      </c>
    </row>
    <row r="260" spans="1:14" ht="15.75" hidden="1">
      <c r="A260" s="145"/>
      <c r="B260" s="643"/>
      <c r="C260" s="344"/>
      <c r="D260" s="205" t="s">
        <v>2309</v>
      </c>
      <c r="E260" s="16">
        <f>'Тарифные ставки'!$B$6</f>
        <v>148.166</v>
      </c>
      <c r="F260" s="200">
        <v>0.7</v>
      </c>
      <c r="G260" s="28">
        <f t="shared" si="23"/>
        <v>103.71619999999999</v>
      </c>
      <c r="H260" s="610"/>
      <c r="I260" s="644">
        <f>H260*'Тарифные ставки'!$B$14*'Тарифные ставки'!$B$15</f>
        <v>0</v>
      </c>
      <c r="J260" s="642">
        <f>I260-I260/'Тарифные ставки'!$B$15</f>
        <v>0</v>
      </c>
      <c r="N260" s="358"/>
    </row>
    <row r="261" spans="1:14" ht="15.75">
      <c r="A261" s="139" t="s">
        <v>1902</v>
      </c>
      <c r="B261" s="39" t="s">
        <v>559</v>
      </c>
      <c r="C261" s="347" t="s">
        <v>192</v>
      </c>
      <c r="D261" s="208" t="s">
        <v>2309</v>
      </c>
      <c r="E261" s="16">
        <f>'Тарифные ставки'!$B$6</f>
        <v>148.166</v>
      </c>
      <c r="F261" s="34">
        <v>1.2</v>
      </c>
      <c r="G261" s="34">
        <f t="shared" si="23"/>
        <v>177.79919999999998</v>
      </c>
      <c r="H261" s="396">
        <f>G261*'Тарифные ставки'!$B$13</f>
        <v>458.72193599999997</v>
      </c>
      <c r="I261" s="398">
        <f>H261*'Тарифные ставки'!$B$14*'Тарифные ставки'!$B$15</f>
        <v>555.9709864319999</v>
      </c>
      <c r="J261" s="398">
        <f>I261-I261/'Тарифные ставки'!$B$15</f>
        <v>92.66183107199998</v>
      </c>
      <c r="K261" s="376">
        <v>464.617296</v>
      </c>
      <c r="L261" s="376">
        <f>I261/K261*100-100</f>
        <v>19.66213725112806</v>
      </c>
      <c r="M261" s="3">
        <v>535</v>
      </c>
      <c r="N261" s="358">
        <f t="shared" si="17"/>
        <v>96.22804301954976</v>
      </c>
    </row>
    <row r="262" spans="1:14" ht="15.75">
      <c r="A262" s="144" t="s">
        <v>1903</v>
      </c>
      <c r="B262" s="11" t="s">
        <v>560</v>
      </c>
      <c r="C262" s="343" t="s">
        <v>1901</v>
      </c>
      <c r="D262" s="211" t="s">
        <v>2309</v>
      </c>
      <c r="E262" s="16">
        <f>'Тарифные ставки'!$B$6</f>
        <v>148.166</v>
      </c>
      <c r="F262" s="29">
        <v>0.5</v>
      </c>
      <c r="G262" s="29">
        <f t="shared" si="23"/>
        <v>74.083</v>
      </c>
      <c r="H262" s="610">
        <f>(G262+G263)*'Тарифные ставки'!$B$13</f>
        <v>382.26828</v>
      </c>
      <c r="I262" s="610">
        <f>H262*'Тарифные ставки'!$B$14*'Тарифные ставки'!$B$15</f>
        <v>463.30915536</v>
      </c>
      <c r="J262" s="400">
        <f>I262-I262/'Тарифные ставки'!$B$15</f>
        <v>77.21819255999998</v>
      </c>
      <c r="K262" s="376">
        <v>387.18108</v>
      </c>
      <c r="L262" s="376">
        <f>I262/K262*100-100</f>
        <v>19.66213725112806</v>
      </c>
      <c r="M262" s="3">
        <v>445</v>
      </c>
      <c r="N262" s="358">
        <f t="shared" si="17"/>
        <v>96.04817751857863</v>
      </c>
    </row>
    <row r="263" spans="1:14" ht="15.75" hidden="1">
      <c r="A263" s="145"/>
      <c r="B263" s="30"/>
      <c r="C263" s="438"/>
      <c r="D263" s="207" t="s">
        <v>2309</v>
      </c>
      <c r="E263" s="16">
        <f>'Тарифные ставки'!$B$6</f>
        <v>148.166</v>
      </c>
      <c r="F263" s="28">
        <v>0.5</v>
      </c>
      <c r="G263" s="28">
        <f t="shared" si="23"/>
        <v>74.083</v>
      </c>
      <c r="H263" s="610"/>
      <c r="I263" s="610">
        <f>H263*'Тарифные ставки'!$B$14*'Тарифные ставки'!$B$15</f>
        <v>0</v>
      </c>
      <c r="J263" s="399">
        <f>I263-I263/'Тарифные ставки'!$B$15</f>
        <v>0</v>
      </c>
      <c r="N263" s="358"/>
    </row>
    <row r="264" spans="1:14" ht="31.5" customHeight="1">
      <c r="A264" s="143" t="s">
        <v>1904</v>
      </c>
      <c r="B264" s="608" t="s">
        <v>561</v>
      </c>
      <c r="C264" s="342" t="s">
        <v>1905</v>
      </c>
      <c r="D264" s="205" t="s">
        <v>2309</v>
      </c>
      <c r="E264" s="16">
        <f>'Тарифные ставки'!$B$6</f>
        <v>148.166</v>
      </c>
      <c r="F264" s="29">
        <v>0.5</v>
      </c>
      <c r="G264" s="29">
        <f t="shared" si="23"/>
        <v>74.083</v>
      </c>
      <c r="H264" s="610">
        <f>(G264+G265)*'Тарифные ставки'!$B$13</f>
        <v>382.26828</v>
      </c>
      <c r="I264" s="610">
        <f>H264*'Тарифные ставки'!$B$14*'Тарифные ставки'!$B$15</f>
        <v>463.30915536</v>
      </c>
      <c r="J264" s="400">
        <f>I264-I264/'Тарифные ставки'!$B$15</f>
        <v>77.21819255999998</v>
      </c>
      <c r="K264" s="376">
        <v>387.18108</v>
      </c>
      <c r="L264" s="376">
        <f>I264/K264*100-100</f>
        <v>19.66213725112806</v>
      </c>
      <c r="N264" s="358">
        <f t="shared" si="17"/>
        <v>0</v>
      </c>
    </row>
    <row r="265" spans="1:14" ht="15.75" hidden="1">
      <c r="A265" s="145"/>
      <c r="B265" s="609"/>
      <c r="C265" s="344"/>
      <c r="D265" s="205" t="s">
        <v>2309</v>
      </c>
      <c r="E265" s="16">
        <f>'Тарифные ставки'!$B$6</f>
        <v>148.166</v>
      </c>
      <c r="F265" s="28">
        <v>0.5</v>
      </c>
      <c r="G265" s="28">
        <f t="shared" si="23"/>
        <v>74.083</v>
      </c>
      <c r="H265" s="610"/>
      <c r="I265" s="610">
        <f>H265*'Тарифные ставки'!$B$14*'Тарифные ставки'!$B$15</f>
        <v>0</v>
      </c>
      <c r="J265" s="399">
        <f>I265-I265/'Тарифные ставки'!$B$15</f>
        <v>0</v>
      </c>
      <c r="N265" s="358"/>
    </row>
    <row r="266" spans="1:14" ht="15.75">
      <c r="A266" s="139" t="s">
        <v>1906</v>
      </c>
      <c r="B266" s="39" t="s">
        <v>562</v>
      </c>
      <c r="C266" s="347" t="s">
        <v>1907</v>
      </c>
      <c r="D266" s="208" t="s">
        <v>2309</v>
      </c>
      <c r="E266" s="16">
        <f>'Тарифные ставки'!$B$6</f>
        <v>148.166</v>
      </c>
      <c r="F266" s="34">
        <v>0.25</v>
      </c>
      <c r="G266" s="34">
        <f t="shared" si="23"/>
        <v>37.0415</v>
      </c>
      <c r="H266" s="396">
        <f>G266*'Тарифные ставки'!$B$13</f>
        <v>95.56707</v>
      </c>
      <c r="I266" s="398">
        <f>H266*'Тарифные ставки'!$B$14*'Тарифные ставки'!$B$15</f>
        <v>115.82728884</v>
      </c>
      <c r="J266" s="398">
        <f>I266-I266/'Тарифные ставки'!$B$15</f>
        <v>19.304548139999994</v>
      </c>
      <c r="K266" s="376">
        <v>96.79527</v>
      </c>
      <c r="L266" s="376">
        <f>I266/K266*100-100</f>
        <v>19.66213725112806</v>
      </c>
      <c r="N266" s="358">
        <f aca="true" t="shared" si="25" ref="N266:N328">M266/I266*100</f>
        <v>0</v>
      </c>
    </row>
    <row r="267" spans="1:14" ht="36.75" customHeight="1">
      <c r="A267" s="143" t="s">
        <v>466</v>
      </c>
      <c r="B267" s="608" t="s">
        <v>233</v>
      </c>
      <c r="C267" s="342" t="s">
        <v>1905</v>
      </c>
      <c r="D267" s="211" t="s">
        <v>2309</v>
      </c>
      <c r="E267" s="16">
        <f>'Тарифные ставки'!$B$6</f>
        <v>148.166</v>
      </c>
      <c r="F267" s="29">
        <v>0.25</v>
      </c>
      <c r="G267" s="29">
        <f t="shared" si="23"/>
        <v>37.0415</v>
      </c>
      <c r="H267" s="610">
        <f>(G267+G268)*'Тарифные ставки'!$B$13</f>
        <v>191.13414</v>
      </c>
      <c r="I267" s="610">
        <f>H267*'Тарифные ставки'!$B$14*'Тарифные ставки'!$B$15</f>
        <v>231.65457768</v>
      </c>
      <c r="J267" s="636">
        <f>I267-I267/'Тарифные ставки'!$B$15</f>
        <v>38.60909627999999</v>
      </c>
      <c r="K267" s="376">
        <v>193.59054</v>
      </c>
      <c r="L267" s="376">
        <f>I267/K267*100-100</f>
        <v>19.66213725112806</v>
      </c>
      <c r="N267" s="358">
        <f t="shared" si="25"/>
        <v>0</v>
      </c>
    </row>
    <row r="268" spans="1:14" ht="15.75" hidden="1">
      <c r="A268" s="145"/>
      <c r="B268" s="609"/>
      <c r="C268" s="344"/>
      <c r="D268" s="207" t="s">
        <v>2309</v>
      </c>
      <c r="E268" s="16">
        <f>'Тарифные ставки'!$B$6</f>
        <v>148.166</v>
      </c>
      <c r="F268" s="28">
        <v>0.25</v>
      </c>
      <c r="G268" s="28">
        <f t="shared" si="23"/>
        <v>37.0415</v>
      </c>
      <c r="H268" s="610"/>
      <c r="I268" s="610">
        <f>H268*'Тарифные ставки'!$B$14*'Тарифные ставки'!$B$15</f>
        <v>0</v>
      </c>
      <c r="J268" s="642">
        <f>I268-I268/'Тарифные ставки'!$B$15</f>
        <v>0</v>
      </c>
      <c r="N268" s="358"/>
    </row>
    <row r="269" spans="1:14" ht="31.5">
      <c r="A269" s="139" t="s">
        <v>467</v>
      </c>
      <c r="B269" s="175" t="s">
        <v>2507</v>
      </c>
      <c r="C269" s="347" t="s">
        <v>1711</v>
      </c>
      <c r="D269" s="208" t="s">
        <v>2309</v>
      </c>
      <c r="E269" s="16">
        <f>'Тарифные ставки'!$B$6</f>
        <v>148.166</v>
      </c>
      <c r="F269" s="34">
        <v>0.5</v>
      </c>
      <c r="G269" s="34">
        <f t="shared" si="23"/>
        <v>74.083</v>
      </c>
      <c r="H269" s="398">
        <f>G269*'Тарифные ставки'!$B$13</f>
        <v>191.13414</v>
      </c>
      <c r="I269" s="398">
        <f>H269*'Тарифные ставки'!$B$14*'Тарифные ставки'!$B$15</f>
        <v>231.65457768</v>
      </c>
      <c r="J269" s="398">
        <f>I269-I269/'Тарифные ставки'!$B$15</f>
        <v>38.60909627999999</v>
      </c>
      <c r="K269" s="376">
        <v>193.59054</v>
      </c>
      <c r="L269" s="376">
        <f>I269/K269*100-100</f>
        <v>19.66213725112806</v>
      </c>
      <c r="N269" s="358">
        <f t="shared" si="25"/>
        <v>0</v>
      </c>
    </row>
    <row r="270" spans="1:14" ht="18.75">
      <c r="A270" s="139" t="s">
        <v>468</v>
      </c>
      <c r="B270" s="39" t="s">
        <v>469</v>
      </c>
      <c r="C270" s="347" t="s">
        <v>1711</v>
      </c>
      <c r="D270" s="208" t="s">
        <v>2309</v>
      </c>
      <c r="E270" s="16">
        <f>'Тарифные ставки'!$B$6</f>
        <v>148.166</v>
      </c>
      <c r="F270" s="34">
        <v>1.2</v>
      </c>
      <c r="G270" s="34">
        <f t="shared" si="23"/>
        <v>177.79919999999998</v>
      </c>
      <c r="H270" s="398">
        <f>G270*'Тарифные ставки'!$B$13</f>
        <v>458.72193599999997</v>
      </c>
      <c r="I270" s="398">
        <f>H270*'Тарифные ставки'!$B$14*'Тарифные ставки'!$B$15</f>
        <v>555.9709864319999</v>
      </c>
      <c r="J270" s="398">
        <f>I270-I270/'Тарифные ставки'!$B$15</f>
        <v>92.66183107199998</v>
      </c>
      <c r="K270" s="376">
        <v>464.617296</v>
      </c>
      <c r="L270" s="376">
        <f>I270/K270*100-100</f>
        <v>19.66213725112806</v>
      </c>
      <c r="N270" s="358">
        <f t="shared" si="25"/>
        <v>0</v>
      </c>
    </row>
    <row r="271" spans="1:14" ht="18.75">
      <c r="A271" s="139" t="s">
        <v>470</v>
      </c>
      <c r="B271" s="39" t="s">
        <v>2389</v>
      </c>
      <c r="C271" s="347" t="s">
        <v>1712</v>
      </c>
      <c r="D271" s="205" t="s">
        <v>2309</v>
      </c>
      <c r="E271" s="16">
        <f>'Тарифные ставки'!$B$6</f>
        <v>148.166</v>
      </c>
      <c r="F271" s="34">
        <v>2.16</v>
      </c>
      <c r="G271" s="34">
        <f t="shared" si="23"/>
        <v>320.03856</v>
      </c>
      <c r="H271" s="398">
        <f>G271*'Тарифные ставки'!$B$13</f>
        <v>825.6994848</v>
      </c>
      <c r="I271" s="398">
        <f>H271*'Тарифные ставки'!$B$14*'Тарифные ставки'!$B$15</f>
        <v>1000.7477755776</v>
      </c>
      <c r="J271" s="398">
        <f>I271-I271/'Тарифные ставки'!$B$15</f>
        <v>166.79129592959998</v>
      </c>
      <c r="K271" s="376">
        <v>836.3111328000002</v>
      </c>
      <c r="L271" s="376">
        <f>I271/K271*100-100</f>
        <v>19.662137251128044</v>
      </c>
      <c r="N271" s="358">
        <f t="shared" si="25"/>
        <v>0</v>
      </c>
    </row>
    <row r="272" spans="1:14" ht="18.75">
      <c r="A272" s="136" t="s">
        <v>234</v>
      </c>
      <c r="B272" s="39" t="s">
        <v>2390</v>
      </c>
      <c r="C272" s="347" t="s">
        <v>1712</v>
      </c>
      <c r="D272" s="208" t="s">
        <v>2309</v>
      </c>
      <c r="E272" s="16">
        <f>'Тарифные ставки'!$B$6</f>
        <v>148.166</v>
      </c>
      <c r="F272" s="34">
        <v>0.9</v>
      </c>
      <c r="G272" s="34">
        <f t="shared" si="23"/>
        <v>133.3494</v>
      </c>
      <c r="H272" s="398">
        <f>G272*'Тарифные ставки'!$B$13</f>
        <v>344.041452</v>
      </c>
      <c r="I272" s="398">
        <f>H272*'Тарифные ставки'!$B$14*'Тарифные ставки'!$B$15</f>
        <v>416.97823982399996</v>
      </c>
      <c r="J272" s="398">
        <f>I272-I272/'Тарифные ставки'!$B$15</f>
        <v>69.49637330399997</v>
      </c>
      <c r="K272" s="376">
        <v>348.46297200000004</v>
      </c>
      <c r="L272" s="376">
        <f>I272/K272*100-100</f>
        <v>19.662137251128044</v>
      </c>
      <c r="N272" s="358">
        <f t="shared" si="25"/>
        <v>0</v>
      </c>
    </row>
    <row r="273" spans="1:14" ht="63" hidden="1">
      <c r="A273" s="328" t="s">
        <v>83</v>
      </c>
      <c r="B273" s="315" t="s">
        <v>82</v>
      </c>
      <c r="C273" s="315" t="s">
        <v>77</v>
      </c>
      <c r="D273" s="315" t="s">
        <v>81</v>
      </c>
      <c r="E273" s="315" t="s">
        <v>85</v>
      </c>
      <c r="F273" s="315" t="s">
        <v>78</v>
      </c>
      <c r="G273" s="315" t="s">
        <v>79</v>
      </c>
      <c r="H273" s="411" t="s">
        <v>80</v>
      </c>
      <c r="I273" s="411" t="s">
        <v>843</v>
      </c>
      <c r="J273" s="411" t="s">
        <v>2349</v>
      </c>
      <c r="N273" s="358"/>
    </row>
    <row r="274" spans="1:14" ht="18.75">
      <c r="A274" s="135" t="s">
        <v>235</v>
      </c>
      <c r="B274" s="30" t="s">
        <v>2391</v>
      </c>
      <c r="C274" s="438" t="s">
        <v>1711</v>
      </c>
      <c r="D274" s="207" t="s">
        <v>2309</v>
      </c>
      <c r="E274" s="16">
        <f>'Тарифные ставки'!$B$6</f>
        <v>148.166</v>
      </c>
      <c r="F274" s="28">
        <v>0.15</v>
      </c>
      <c r="G274" s="28">
        <f t="shared" si="23"/>
        <v>22.224899999999998</v>
      </c>
      <c r="H274" s="399">
        <f>G274*'Тарифные ставки'!$B$13</f>
        <v>57.340241999999996</v>
      </c>
      <c r="I274" s="399">
        <f>H274*'Тарифные ставки'!$B$14*'Тарифные ставки'!$B$15</f>
        <v>69.49637330399999</v>
      </c>
      <c r="J274" s="399">
        <f>I274-I274/'Тарифные ставки'!$B$15</f>
        <v>11.582728883999998</v>
      </c>
      <c r="K274" s="376">
        <v>58.077162</v>
      </c>
      <c r="L274" s="376">
        <f>I274/K274*100-100</f>
        <v>19.66213725112806</v>
      </c>
      <c r="N274" s="358">
        <f t="shared" si="25"/>
        <v>0</v>
      </c>
    </row>
    <row r="275" spans="1:14" ht="31.5">
      <c r="A275" s="136" t="s">
        <v>236</v>
      </c>
      <c r="B275" s="39" t="s">
        <v>1605</v>
      </c>
      <c r="C275" s="347" t="s">
        <v>75</v>
      </c>
      <c r="D275" s="34" t="s">
        <v>2310</v>
      </c>
      <c r="E275" s="34">
        <f>'Тарифные ставки'!$B$7</f>
        <v>455.79099999999994</v>
      </c>
      <c r="F275" s="34">
        <v>2.5</v>
      </c>
      <c r="G275" s="34">
        <f t="shared" si="23"/>
        <v>1139.4775</v>
      </c>
      <c r="H275" s="401">
        <f>G275*'Тарифные ставки'!$B$13</f>
        <v>2939.8519499999998</v>
      </c>
      <c r="I275" s="398">
        <f>H275*'Тарифные ставки'!$B$14*'Тарифные ставки'!$B$15</f>
        <v>3563.1005634</v>
      </c>
      <c r="J275" s="398">
        <f>I275-I275/'Тарифные ставки'!$B$15</f>
        <v>593.8500939</v>
      </c>
      <c r="K275" s="376">
        <v>3687.48765</v>
      </c>
      <c r="L275" s="376">
        <f>I275/K275*100-100</f>
        <v>-3.373220425565364</v>
      </c>
      <c r="N275" s="358">
        <f t="shared" si="25"/>
        <v>0</v>
      </c>
    </row>
    <row r="276" spans="1:14" ht="31.5">
      <c r="A276" s="136" t="s">
        <v>237</v>
      </c>
      <c r="B276" s="39" t="s">
        <v>795</v>
      </c>
      <c r="C276" s="347" t="s">
        <v>75</v>
      </c>
      <c r="D276" s="34" t="s">
        <v>2310</v>
      </c>
      <c r="E276" s="34">
        <f>'Тарифные ставки'!$B$7</f>
        <v>455.79099999999994</v>
      </c>
      <c r="F276" s="34">
        <v>10</v>
      </c>
      <c r="G276" s="34">
        <f t="shared" si="23"/>
        <v>4557.91</v>
      </c>
      <c r="H276" s="401">
        <f>G276*'Тарифные ставки'!$B$13</f>
        <v>11759.407799999999</v>
      </c>
      <c r="I276" s="398">
        <f>H276*'Тарифные ставки'!$B$14*'Тарифные ставки'!$B$15</f>
        <v>14252.4022536</v>
      </c>
      <c r="J276" s="398">
        <f>I276-I276/'Тарифные ставки'!$B$15</f>
        <v>2375.4003756</v>
      </c>
      <c r="K276" s="376">
        <v>14749.9506</v>
      </c>
      <c r="L276" s="376">
        <f>I276/K276*100-100</f>
        <v>-3.373220425565364</v>
      </c>
      <c r="N276" s="358">
        <f t="shared" si="25"/>
        <v>0</v>
      </c>
    </row>
    <row r="277" spans="1:14" s="2" customFormat="1" ht="15.75">
      <c r="A277" s="131"/>
      <c r="B277" s="4"/>
      <c r="C277" s="5"/>
      <c r="D277" s="5"/>
      <c r="E277" s="5"/>
      <c r="H277" s="381"/>
      <c r="I277" s="413"/>
      <c r="J277" s="381"/>
      <c r="K277" s="381"/>
      <c r="L277" s="376"/>
      <c r="N277" s="358"/>
    </row>
    <row r="278" spans="1:14" s="140" customFormat="1" ht="15.75">
      <c r="A278" s="604" t="s">
        <v>796</v>
      </c>
      <c r="B278" s="604"/>
      <c r="C278" s="604"/>
      <c r="D278" s="604"/>
      <c r="E278" s="604"/>
      <c r="F278" s="604"/>
      <c r="G278" s="604"/>
      <c r="H278" s="604"/>
      <c r="I278" s="604"/>
      <c r="J278" s="386"/>
      <c r="K278" s="386"/>
      <c r="L278" s="376"/>
      <c r="N278" s="358"/>
    </row>
    <row r="279" spans="3:14" s="140" customFormat="1" ht="15.75">
      <c r="C279" s="171"/>
      <c r="H279" s="386"/>
      <c r="I279" s="414"/>
      <c r="J279" s="386"/>
      <c r="K279" s="386"/>
      <c r="L279" s="376"/>
      <c r="N279" s="358"/>
    </row>
    <row r="280" spans="1:14" ht="63">
      <c r="A280" s="328" t="s">
        <v>83</v>
      </c>
      <c r="B280" s="313" t="s">
        <v>82</v>
      </c>
      <c r="C280" s="313" t="s">
        <v>77</v>
      </c>
      <c r="D280" s="313" t="s">
        <v>81</v>
      </c>
      <c r="E280" s="364" t="s">
        <v>85</v>
      </c>
      <c r="F280" s="314" t="s">
        <v>78</v>
      </c>
      <c r="G280" s="314" t="s">
        <v>79</v>
      </c>
      <c r="H280" s="393" t="s">
        <v>80</v>
      </c>
      <c r="I280" s="394" t="s">
        <v>843</v>
      </c>
      <c r="J280" s="393" t="s">
        <v>2349</v>
      </c>
      <c r="N280" s="358"/>
    </row>
    <row r="281" spans="1:14" ht="15.75">
      <c r="A281" s="133" t="s">
        <v>563</v>
      </c>
      <c r="B281" s="11" t="s">
        <v>797</v>
      </c>
      <c r="C281" s="368" t="s">
        <v>194</v>
      </c>
      <c r="D281" s="368"/>
      <c r="E281" s="368"/>
      <c r="F281" s="368"/>
      <c r="G281" s="368"/>
      <c r="H281" s="450"/>
      <c r="I281" s="450"/>
      <c r="J281" s="450"/>
      <c r="N281" s="358"/>
    </row>
    <row r="282" spans="1:14" ht="15.75">
      <c r="A282" s="134"/>
      <c r="B282" s="14" t="s">
        <v>1289</v>
      </c>
      <c r="C282" s="451"/>
      <c r="D282" s="452" t="s">
        <v>2316</v>
      </c>
      <c r="E282" s="16">
        <f>'Тарифные ставки'!$B$5</f>
        <v>137.4825</v>
      </c>
      <c r="F282" s="453">
        <v>3</v>
      </c>
      <c r="G282" s="453">
        <f aca="true" t="shared" si="26" ref="G282:G291">E282*F282</f>
        <v>412.4475</v>
      </c>
      <c r="H282" s="454">
        <f>G282*'Тарифные ставки'!$B$13</f>
        <v>1064.11455</v>
      </c>
      <c r="I282" s="454">
        <f>H282*'Тарифные ставки'!$B$14*'Тарифные ставки'!$B$15</f>
        <v>1289.7068345999999</v>
      </c>
      <c r="J282" s="454">
        <f>I282-I282/'Тарифные ставки'!$B$15</f>
        <v>214.95113909999986</v>
      </c>
      <c r="K282" s="376">
        <v>1078.88814</v>
      </c>
      <c r="L282" s="376">
        <f>I282/K282*100-100</f>
        <v>19.54036630711316</v>
      </c>
      <c r="N282" s="358">
        <f t="shared" si="25"/>
        <v>0</v>
      </c>
    </row>
    <row r="283" spans="1:14" ht="15.75">
      <c r="A283" s="134"/>
      <c r="B283" s="14" t="s">
        <v>1301</v>
      </c>
      <c r="C283" s="451"/>
      <c r="D283" s="452" t="s">
        <v>2316</v>
      </c>
      <c r="E283" s="28">
        <f>'Тарифные ставки'!$B$5</f>
        <v>137.4825</v>
      </c>
      <c r="F283" s="453">
        <v>5.2</v>
      </c>
      <c r="G283" s="453">
        <f t="shared" si="26"/>
        <v>714.909</v>
      </c>
      <c r="H283" s="454">
        <f>G283*'Тарифные ставки'!$B$13</f>
        <v>1844.46522</v>
      </c>
      <c r="I283" s="454">
        <f>H283*'Тарифные ставки'!$B$14*'Тарифные ставки'!$B$15</f>
        <v>2235.49184664</v>
      </c>
      <c r="J283" s="454">
        <f>I283-I283/'Тарифные ставки'!$B$15</f>
        <v>372.58197443999984</v>
      </c>
      <c r="K283" s="376">
        <v>1870.072776</v>
      </c>
      <c r="L283" s="376">
        <f>I283/K283*100-100</f>
        <v>19.540366307113175</v>
      </c>
      <c r="N283" s="358">
        <f t="shared" si="25"/>
        <v>0</v>
      </c>
    </row>
    <row r="284" spans="1:14" ht="15.75" customHeight="1" hidden="1">
      <c r="A284" s="322"/>
      <c r="B284" s="14" t="s">
        <v>798</v>
      </c>
      <c r="C284" s="451"/>
      <c r="D284" s="452" t="s">
        <v>2316</v>
      </c>
      <c r="E284" s="16">
        <f>'Тарифные ставки'!$B$5</f>
        <v>137.4825</v>
      </c>
      <c r="F284" s="453">
        <v>6.4</v>
      </c>
      <c r="G284" s="453">
        <f t="shared" si="26"/>
        <v>879.8879999999999</v>
      </c>
      <c r="H284" s="454">
        <f>G284*3.45</f>
        <v>3035.6135999999997</v>
      </c>
      <c r="I284" s="454"/>
      <c r="J284" s="454">
        <f>I284-I284/'Тарифные ставки'!$B$15</f>
        <v>0</v>
      </c>
      <c r="L284" s="376" t="e">
        <f>I284/K284*100-100</f>
        <v>#DIV/0!</v>
      </c>
      <c r="N284" s="358" t="e">
        <f t="shared" si="25"/>
        <v>#DIV/0!</v>
      </c>
    </row>
    <row r="285" spans="1:14" ht="15.75" customHeight="1" hidden="1">
      <c r="A285" s="323"/>
      <c r="B285" s="26" t="s">
        <v>1242</v>
      </c>
      <c r="C285" s="340"/>
      <c r="D285" s="452" t="s">
        <v>2316</v>
      </c>
      <c r="E285" s="16">
        <f>'Тарифные ставки'!$B$5</f>
        <v>137.4825</v>
      </c>
      <c r="F285" s="363">
        <v>8</v>
      </c>
      <c r="G285" s="363">
        <f t="shared" si="26"/>
        <v>1099.86</v>
      </c>
      <c r="H285" s="405">
        <f>G285*3.45</f>
        <v>3794.517</v>
      </c>
      <c r="I285" s="405"/>
      <c r="J285" s="405">
        <f>I285-I285/'Тарифные ставки'!$B$15</f>
        <v>0</v>
      </c>
      <c r="L285" s="376" t="e">
        <f>I285/K285*100-100</f>
        <v>#DIV/0!</v>
      </c>
      <c r="N285" s="358" t="e">
        <f t="shared" si="25"/>
        <v>#DIV/0!</v>
      </c>
    </row>
    <row r="286" spans="1:14" ht="15.75">
      <c r="A286" s="133" t="s">
        <v>564</v>
      </c>
      <c r="B286" s="631" t="s">
        <v>565</v>
      </c>
      <c r="C286" s="618" t="s">
        <v>799</v>
      </c>
      <c r="D286" s="455" t="s">
        <v>2316</v>
      </c>
      <c r="E286" s="16">
        <f>'Тарифные ставки'!$B$5</f>
        <v>137.4825</v>
      </c>
      <c r="F286" s="362">
        <v>1.44</v>
      </c>
      <c r="G286" s="362">
        <f t="shared" si="26"/>
        <v>197.9748</v>
      </c>
      <c r="H286" s="605">
        <f>(G286+G287)*'Тарифные ставки'!$B$13</f>
        <v>1021.5499679999999</v>
      </c>
      <c r="I286" s="610">
        <f>H286*'Тарифные ставки'!$B$14*'Тарифные ставки'!$B$15</f>
        <v>1238.118561216</v>
      </c>
      <c r="J286" s="605">
        <f>I286-I286/'Тарифные ставки'!$B$15</f>
        <v>206.35309353599996</v>
      </c>
      <c r="K286" s="376">
        <v>1075.4070624000003</v>
      </c>
      <c r="L286" s="376">
        <f>I286/K286*100-100</f>
        <v>15.130224126748274</v>
      </c>
      <c r="N286" s="358">
        <f t="shared" si="25"/>
        <v>0</v>
      </c>
    </row>
    <row r="287" spans="1:14" ht="15.75" hidden="1">
      <c r="A287" s="135"/>
      <c r="B287" s="632"/>
      <c r="C287" s="633"/>
      <c r="D287" s="456" t="s">
        <v>47</v>
      </c>
      <c r="E287" s="429">
        <f>'Тарифные ставки'!$B$5</f>
        <v>137.4825</v>
      </c>
      <c r="F287" s="363">
        <v>1.44</v>
      </c>
      <c r="G287" s="363">
        <f t="shared" si="26"/>
        <v>197.9748</v>
      </c>
      <c r="H287" s="606"/>
      <c r="I287" s="610">
        <f>H287*'Тарифные ставки'!$B$14*'Тарифные ставки'!$B$15</f>
        <v>0</v>
      </c>
      <c r="J287" s="606">
        <f>I287-I287/'Тарифные ставки'!$B$15</f>
        <v>0</v>
      </c>
      <c r="N287" s="358"/>
    </row>
    <row r="288" spans="1:14" ht="15.75">
      <c r="A288" s="133" t="s">
        <v>566</v>
      </c>
      <c r="B288" s="631" t="s">
        <v>567</v>
      </c>
      <c r="C288" s="618" t="s">
        <v>799</v>
      </c>
      <c r="D288" s="455" t="s">
        <v>2316</v>
      </c>
      <c r="E288" s="29">
        <f>'Тарифные ставки'!$B$5</f>
        <v>137.4825</v>
      </c>
      <c r="F288" s="362">
        <v>2.6</v>
      </c>
      <c r="G288" s="362">
        <f t="shared" si="26"/>
        <v>357.4545</v>
      </c>
      <c r="H288" s="605">
        <f>(G288+G289)*'Тарифные ставки'!$B$13</f>
        <v>1844.46522</v>
      </c>
      <c r="I288" s="610">
        <f>H288*'Тарифные ставки'!$B$14*'Тарифные ставки'!$B$15</f>
        <v>2235.49184664</v>
      </c>
      <c r="J288" s="605">
        <f>I288-I288/'Тарифные ставки'!$B$15</f>
        <v>372.58197443999984</v>
      </c>
      <c r="K288" s="376">
        <v>1941.7071960000003</v>
      </c>
      <c r="L288" s="376">
        <f>I288/K288*100-100</f>
        <v>15.130224126748288</v>
      </c>
      <c r="N288" s="358">
        <f t="shared" si="25"/>
        <v>0</v>
      </c>
    </row>
    <row r="289" spans="1:14" ht="15.75" hidden="1">
      <c r="A289" s="135"/>
      <c r="B289" s="632"/>
      <c r="C289" s="633"/>
      <c r="D289" s="456" t="s">
        <v>47</v>
      </c>
      <c r="E289" s="429">
        <f>'Тарифные ставки'!$B$5</f>
        <v>137.4825</v>
      </c>
      <c r="F289" s="363">
        <v>2.6</v>
      </c>
      <c r="G289" s="363">
        <f t="shared" si="26"/>
        <v>357.4545</v>
      </c>
      <c r="H289" s="606"/>
      <c r="I289" s="610">
        <f>H289*'Тарифные ставки'!$B$14*'Тарифные ставки'!$B$15</f>
        <v>0</v>
      </c>
      <c r="J289" s="606">
        <f>I289-I289/'Тарифные ставки'!$B$15</f>
        <v>0</v>
      </c>
      <c r="N289" s="358"/>
    </row>
    <row r="290" spans="1:14" ht="15.75" customHeight="1" hidden="1">
      <c r="A290" s="324" t="s">
        <v>800</v>
      </c>
      <c r="B290" s="49" t="s">
        <v>801</v>
      </c>
      <c r="C290" s="336" t="s">
        <v>799</v>
      </c>
      <c r="D290" s="214" t="s">
        <v>2316</v>
      </c>
      <c r="E290" s="16">
        <v>78.97</v>
      </c>
      <c r="F290" s="48">
        <v>24.5</v>
      </c>
      <c r="G290" s="48">
        <f t="shared" si="26"/>
        <v>1934.7649999999999</v>
      </c>
      <c r="H290" s="605">
        <f>(G290+G291)*3.45</f>
        <v>13861.25475</v>
      </c>
      <c r="I290" s="605"/>
      <c r="J290" s="605"/>
      <c r="N290" s="358"/>
    </row>
    <row r="291" spans="1:14" ht="15.75" customHeight="1" hidden="1">
      <c r="A291" s="321"/>
      <c r="B291" s="50"/>
      <c r="C291" s="337"/>
      <c r="D291" s="213" t="s">
        <v>47</v>
      </c>
      <c r="E291" s="46">
        <v>85.02</v>
      </c>
      <c r="F291" s="47">
        <v>24.5</v>
      </c>
      <c r="G291" s="47">
        <f t="shared" si="26"/>
        <v>2082.99</v>
      </c>
      <c r="H291" s="606"/>
      <c r="I291" s="606"/>
      <c r="J291" s="606"/>
      <c r="N291" s="358"/>
    </row>
    <row r="292" spans="1:14" ht="31.5" customHeight="1" hidden="1">
      <c r="A292" s="324" t="s">
        <v>568</v>
      </c>
      <c r="B292" s="31" t="s">
        <v>802</v>
      </c>
      <c r="C292" s="341" t="s">
        <v>804</v>
      </c>
      <c r="D292" s="25"/>
      <c r="E292" s="219"/>
      <c r="F292" s="48"/>
      <c r="G292" s="48"/>
      <c r="H292" s="406"/>
      <c r="I292" s="421"/>
      <c r="J292" s="406"/>
      <c r="N292" s="358"/>
    </row>
    <row r="293" spans="1:14" ht="15.75" customHeight="1" hidden="1">
      <c r="A293" s="320"/>
      <c r="B293" s="41" t="s">
        <v>1717</v>
      </c>
      <c r="C293" s="332"/>
      <c r="D293" s="212" t="s">
        <v>2311</v>
      </c>
      <c r="E293" s="216">
        <v>85.02</v>
      </c>
      <c r="F293" s="44">
        <v>1.44</v>
      </c>
      <c r="G293" s="44">
        <f aca="true" t="shared" si="27" ref="G293:G299">E293*F293</f>
        <v>122.4288</v>
      </c>
      <c r="H293" s="402">
        <f>(G293+G294)*3.45</f>
        <v>1207.02528</v>
      </c>
      <c r="I293" s="419"/>
      <c r="J293" s="402"/>
      <c r="N293" s="358"/>
    </row>
    <row r="294" spans="1:14" ht="15.75" customHeight="1" hidden="1">
      <c r="A294" s="320"/>
      <c r="B294" s="51"/>
      <c r="C294" s="332"/>
      <c r="D294" s="212" t="s">
        <v>2316</v>
      </c>
      <c r="E294" s="197">
        <v>78.97</v>
      </c>
      <c r="F294" s="44">
        <v>2.88</v>
      </c>
      <c r="G294" s="44">
        <f t="shared" si="27"/>
        <v>227.43359999999998</v>
      </c>
      <c r="H294" s="402"/>
      <c r="I294" s="419"/>
      <c r="J294" s="402"/>
      <c r="N294" s="358"/>
    </row>
    <row r="295" spans="1:14" ht="15.75" customHeight="1" hidden="1">
      <c r="A295" s="320"/>
      <c r="B295" s="41" t="s">
        <v>803</v>
      </c>
      <c r="C295" s="332"/>
      <c r="D295" s="212" t="s">
        <v>2311</v>
      </c>
      <c r="E295" s="216">
        <v>85.02</v>
      </c>
      <c r="F295" s="44">
        <v>2.88</v>
      </c>
      <c r="G295" s="44">
        <f t="shared" si="27"/>
        <v>244.8576</v>
      </c>
      <c r="H295" s="402">
        <f>(G295+G296)*3.45</f>
        <v>2414.05056</v>
      </c>
      <c r="I295" s="419"/>
      <c r="J295" s="402"/>
      <c r="N295" s="358"/>
    </row>
    <row r="296" spans="1:14" ht="15.75" customHeight="1" hidden="1">
      <c r="A296" s="321"/>
      <c r="B296" s="52"/>
      <c r="C296" s="333"/>
      <c r="D296" s="212" t="s">
        <v>2316</v>
      </c>
      <c r="E296" s="197">
        <v>78.97</v>
      </c>
      <c r="F296" s="47">
        <v>5.76</v>
      </c>
      <c r="G296" s="47">
        <f t="shared" si="27"/>
        <v>454.86719999999997</v>
      </c>
      <c r="H296" s="403"/>
      <c r="I296" s="420"/>
      <c r="J296" s="403"/>
      <c r="N296" s="358"/>
    </row>
    <row r="297" spans="1:14" ht="15.75" customHeight="1" hidden="1">
      <c r="A297" s="325" t="s">
        <v>805</v>
      </c>
      <c r="B297" s="53" t="s">
        <v>570</v>
      </c>
      <c r="C297" s="338" t="s">
        <v>806</v>
      </c>
      <c r="D297" s="220" t="s">
        <v>2316</v>
      </c>
      <c r="E297" s="54">
        <v>78.97</v>
      </c>
      <c r="F297" s="54">
        <v>3</v>
      </c>
      <c r="G297" s="54">
        <f t="shared" si="27"/>
        <v>236.91</v>
      </c>
      <c r="H297" s="407">
        <f>G297*3.45</f>
        <v>817.3395</v>
      </c>
      <c r="I297" s="407"/>
      <c r="J297" s="407"/>
      <c r="N297" s="358"/>
    </row>
    <row r="298" spans="1:14" ht="15.75" customHeight="1" hidden="1">
      <c r="A298" s="320" t="s">
        <v>571</v>
      </c>
      <c r="B298" s="56" t="s">
        <v>572</v>
      </c>
      <c r="C298" s="21" t="s">
        <v>806</v>
      </c>
      <c r="D298" s="214" t="s">
        <v>2316</v>
      </c>
      <c r="E298" s="29">
        <v>78.97</v>
      </c>
      <c r="F298" s="57">
        <v>2.88</v>
      </c>
      <c r="G298" s="57">
        <f t="shared" si="27"/>
        <v>227.43359999999998</v>
      </c>
      <c r="H298" s="408">
        <f>G298*3.45</f>
        <v>784.6459199999999</v>
      </c>
      <c r="I298" s="408"/>
      <c r="J298" s="408"/>
      <c r="N298" s="358"/>
    </row>
    <row r="299" spans="1:14" ht="15.75" customHeight="1" hidden="1">
      <c r="A299" s="323"/>
      <c r="B299" s="59" t="s">
        <v>569</v>
      </c>
      <c r="C299" s="339"/>
      <c r="D299" s="213" t="s">
        <v>2316</v>
      </c>
      <c r="E299" s="28">
        <v>78.97</v>
      </c>
      <c r="F299" s="20">
        <v>5</v>
      </c>
      <c r="G299" s="20">
        <f t="shared" si="27"/>
        <v>394.85</v>
      </c>
      <c r="H299" s="409">
        <f>G299*3.45</f>
        <v>1362.2325</v>
      </c>
      <c r="I299" s="409"/>
      <c r="J299" s="409"/>
      <c r="N299" s="358"/>
    </row>
    <row r="300" spans="1:14" s="2" customFormat="1" ht="15.75">
      <c r="A300" s="131"/>
      <c r="B300" s="4"/>
      <c r="C300" s="5"/>
      <c r="D300" s="5"/>
      <c r="E300" s="5"/>
      <c r="H300" s="381"/>
      <c r="I300" s="413"/>
      <c r="J300" s="381"/>
      <c r="K300" s="381"/>
      <c r="L300" s="376"/>
      <c r="N300" s="358"/>
    </row>
    <row r="301" spans="1:14" s="140" customFormat="1" ht="15.75">
      <c r="A301" s="604" t="s">
        <v>2038</v>
      </c>
      <c r="B301" s="604"/>
      <c r="C301" s="604"/>
      <c r="D301" s="604"/>
      <c r="E301" s="604"/>
      <c r="F301" s="604"/>
      <c r="G301" s="604"/>
      <c r="H301" s="604"/>
      <c r="I301" s="604"/>
      <c r="J301" s="386"/>
      <c r="K301" s="386"/>
      <c r="L301" s="376"/>
      <c r="N301" s="358"/>
    </row>
    <row r="302" spans="3:14" s="140" customFormat="1" ht="15.75">
      <c r="C302" s="171"/>
      <c r="H302" s="386"/>
      <c r="I302" s="414"/>
      <c r="J302" s="386"/>
      <c r="K302" s="386"/>
      <c r="L302" s="376"/>
      <c r="N302" s="358"/>
    </row>
    <row r="303" spans="1:14" ht="63">
      <c r="A303" s="328" t="s">
        <v>83</v>
      </c>
      <c r="B303" s="313" t="s">
        <v>82</v>
      </c>
      <c r="C303" s="313" t="s">
        <v>77</v>
      </c>
      <c r="D303" s="313" t="s">
        <v>81</v>
      </c>
      <c r="E303" s="314" t="s">
        <v>85</v>
      </c>
      <c r="F303" s="314" t="s">
        <v>78</v>
      </c>
      <c r="G303" s="314" t="s">
        <v>79</v>
      </c>
      <c r="H303" s="393" t="s">
        <v>80</v>
      </c>
      <c r="I303" s="394" t="s">
        <v>843</v>
      </c>
      <c r="J303" s="393" t="s">
        <v>2349</v>
      </c>
      <c r="N303" s="358"/>
    </row>
    <row r="304" spans="1:14" ht="15.75">
      <c r="A304" s="136" t="s">
        <v>573</v>
      </c>
      <c r="B304" s="53" t="s">
        <v>2429</v>
      </c>
      <c r="C304" s="430" t="s">
        <v>807</v>
      </c>
      <c r="D304" s="431" t="s">
        <v>2312</v>
      </c>
      <c r="E304" s="34">
        <f>'Тарифные ставки'!$B$5</f>
        <v>137.4825</v>
      </c>
      <c r="F304" s="54">
        <v>2.9</v>
      </c>
      <c r="G304" s="54">
        <f aca="true" t="shared" si="28" ref="G304:G315">E304*F304</f>
        <v>398.69924999999995</v>
      </c>
      <c r="H304" s="432">
        <f>G304*'Тарифные ставки'!$B$13</f>
        <v>1028.644065</v>
      </c>
      <c r="I304" s="432">
        <f>H304*'Тарифные ставки'!$B$14*'Тарифные ставки'!$B$15</f>
        <v>1246.71660678</v>
      </c>
      <c r="J304" s="407">
        <f>I304-I304/'Тарифные ставки'!$B$15</f>
        <v>207.7861011299999</v>
      </c>
      <c r="K304" s="376">
        <v>1042.925202</v>
      </c>
      <c r="L304" s="376">
        <f>I304/K304*100-100</f>
        <v>19.540366307113175</v>
      </c>
      <c r="M304" s="3">
        <v>1292</v>
      </c>
      <c r="N304" s="358">
        <f t="shared" si="25"/>
        <v>103.63221224244035</v>
      </c>
    </row>
    <row r="305" spans="1:14" ht="31.5">
      <c r="A305" s="586" t="s">
        <v>574</v>
      </c>
      <c r="B305" s="628" t="s">
        <v>2392</v>
      </c>
      <c r="C305" s="244" t="s">
        <v>2508</v>
      </c>
      <c r="D305" s="587" t="s">
        <v>2312</v>
      </c>
      <c r="E305" s="588">
        <f>'Тарифные ставки'!$B$5</f>
        <v>137.4825</v>
      </c>
      <c r="F305" s="589">
        <v>2.5</v>
      </c>
      <c r="G305" s="589">
        <f t="shared" si="28"/>
        <v>343.70624999999995</v>
      </c>
      <c r="H305" s="611">
        <f>(G305+G306)*'Тарифные ставки'!$B$13</f>
        <v>1842.4328249999999</v>
      </c>
      <c r="I305" s="611">
        <f>H305*'Тарифные ставки'!$B$14*'Тарифные ставки'!$B$15</f>
        <v>2233.0285839</v>
      </c>
      <c r="J305" s="649">
        <f>I305-I305/'Тарифные ставки'!$B$15</f>
        <v>372.1714306499998</v>
      </c>
      <c r="K305" s="376">
        <v>1867.0261500000001</v>
      </c>
      <c r="L305" s="376">
        <f>I305/K305*100-100</f>
        <v>19.603497995997515</v>
      </c>
      <c r="M305" s="3">
        <v>2393</v>
      </c>
      <c r="N305" s="358">
        <f t="shared" si="25"/>
        <v>107.1638767749497</v>
      </c>
    </row>
    <row r="306" spans="1:14" ht="31.5" hidden="1">
      <c r="A306" s="590"/>
      <c r="B306" s="629"/>
      <c r="C306" s="244" t="s">
        <v>2508</v>
      </c>
      <c r="D306" s="591" t="s">
        <v>2313</v>
      </c>
      <c r="E306" s="592">
        <f>'Тарифные ставки'!$B$6</f>
        <v>148.166</v>
      </c>
      <c r="F306" s="593">
        <v>2.5</v>
      </c>
      <c r="G306" s="593">
        <f t="shared" si="28"/>
        <v>370.41499999999996</v>
      </c>
      <c r="H306" s="612"/>
      <c r="I306" s="612">
        <f>H306*'Тарифные ставки'!$B$14*'Тарифные ставки'!$B$15</f>
        <v>0</v>
      </c>
      <c r="J306" s="650"/>
      <c r="N306" s="358"/>
    </row>
    <row r="307" spans="1:14" ht="31.5">
      <c r="A307" s="133" t="s">
        <v>238</v>
      </c>
      <c r="B307" s="613" t="s">
        <v>2393</v>
      </c>
      <c r="C307" s="244" t="s">
        <v>2508</v>
      </c>
      <c r="D307" s="431" t="s">
        <v>2313</v>
      </c>
      <c r="E307" s="429">
        <f>'Тарифные ставки'!$B$6</f>
        <v>148.166</v>
      </c>
      <c r="F307" s="19">
        <v>3.5</v>
      </c>
      <c r="G307" s="19">
        <f>E307*F307</f>
        <v>518.581</v>
      </c>
      <c r="H307" s="605">
        <f>(G307+G308)*'Тарифные ставки'!$B$13</f>
        <v>2675.8779600000003</v>
      </c>
      <c r="I307" s="605">
        <f>H307*'Тарифные ставки'!$B$14*'Тарифные ставки'!$B$15</f>
        <v>3243.1640875200005</v>
      </c>
      <c r="J307" s="647">
        <f>I307-I307/'Тарифные ставки'!$B$15</f>
        <v>540.52734792</v>
      </c>
      <c r="K307" s="376">
        <v>2710.2675600000002</v>
      </c>
      <c r="L307" s="376">
        <f>I307/K307*100-100</f>
        <v>19.662137251128087</v>
      </c>
      <c r="N307" s="358">
        <f t="shared" si="25"/>
        <v>0</v>
      </c>
    </row>
    <row r="308" spans="1:14" ht="31.5" hidden="1">
      <c r="A308" s="135"/>
      <c r="B308" s="614"/>
      <c r="C308" s="244" t="s">
        <v>2508</v>
      </c>
      <c r="D308" s="434" t="s">
        <v>2313</v>
      </c>
      <c r="E308" s="429">
        <f>'Тарифные ставки'!$B$6</f>
        <v>148.166</v>
      </c>
      <c r="F308" s="20">
        <v>3.5</v>
      </c>
      <c r="G308" s="20">
        <f>E308*F308</f>
        <v>518.581</v>
      </c>
      <c r="H308" s="606"/>
      <c r="I308" s="606">
        <f>H308*'Тарифные ставки'!$B$14*'Тарифные ставки'!$B$15</f>
        <v>0</v>
      </c>
      <c r="J308" s="648"/>
      <c r="N308" s="358"/>
    </row>
    <row r="309" spans="1:14" ht="38.25" customHeight="1">
      <c r="A309" s="136" t="s">
        <v>239</v>
      </c>
      <c r="B309" s="630" t="s">
        <v>2431</v>
      </c>
      <c r="C309" s="430" t="s">
        <v>810</v>
      </c>
      <c r="D309" s="594" t="s">
        <v>2312</v>
      </c>
      <c r="E309" s="34">
        <f>'Тарифные ставки'!$B$5</f>
        <v>137.4825</v>
      </c>
      <c r="F309" s="54">
        <v>3</v>
      </c>
      <c r="G309" s="54">
        <f t="shared" si="28"/>
        <v>412.4475</v>
      </c>
      <c r="H309" s="607">
        <f>(G309+G310)*'Тарифные ставки'!$B$13</f>
        <v>2210.91939</v>
      </c>
      <c r="I309" s="607">
        <f>H309*'Тарифные ставки'!$B$14*'Тарифные ставки'!$B$15</f>
        <v>2679.63430068</v>
      </c>
      <c r="J309" s="647">
        <f>I309-I309/'Тарифные ставки'!$B$15</f>
        <v>446.60571677999997</v>
      </c>
      <c r="K309" s="376">
        <v>2240.4313800000004</v>
      </c>
      <c r="L309" s="376">
        <f>I309/K309*100-100</f>
        <v>19.6034979959975</v>
      </c>
      <c r="N309" s="358">
        <f t="shared" si="25"/>
        <v>0</v>
      </c>
    </row>
    <row r="310" spans="1:14" ht="24.75" customHeight="1" hidden="1">
      <c r="A310" s="136"/>
      <c r="B310" s="630"/>
      <c r="C310" s="430"/>
      <c r="D310" s="594" t="s">
        <v>2313</v>
      </c>
      <c r="E310" s="595">
        <f>'Тарифные ставки'!$B$6</f>
        <v>148.166</v>
      </c>
      <c r="F310" s="54">
        <v>3</v>
      </c>
      <c r="G310" s="54">
        <f t="shared" si="28"/>
        <v>444.498</v>
      </c>
      <c r="H310" s="607"/>
      <c r="I310" s="607">
        <f>H310*'Тарифные ставки'!$B$14*'Тарифные ставки'!$B$15</f>
        <v>0</v>
      </c>
      <c r="J310" s="648"/>
      <c r="N310" s="358"/>
    </row>
    <row r="311" spans="1:14" ht="27" customHeight="1">
      <c r="A311" s="136" t="s">
        <v>575</v>
      </c>
      <c r="B311" s="596" t="s">
        <v>2436</v>
      </c>
      <c r="C311" s="430" t="s">
        <v>810</v>
      </c>
      <c r="D311" s="594" t="s">
        <v>2312</v>
      </c>
      <c r="E311" s="34">
        <f>'Тарифные ставки'!$B$5</f>
        <v>137.4825</v>
      </c>
      <c r="F311" s="54">
        <v>4</v>
      </c>
      <c r="G311" s="54">
        <f t="shared" si="28"/>
        <v>549.93</v>
      </c>
      <c r="H311" s="607">
        <f>(G311+G312)*'Тарифные ставки'!$B$13</f>
        <v>2947.8925200000003</v>
      </c>
      <c r="I311" s="607">
        <f>H311*'Тарифные ставки'!$B$14*'Тарифные ставки'!$B$15</f>
        <v>3572.84573424</v>
      </c>
      <c r="J311" s="647">
        <f>I311-I311/'Тарифные ставки'!$B$15</f>
        <v>595.4742890399998</v>
      </c>
      <c r="K311" s="376">
        <v>2987.241840000001</v>
      </c>
      <c r="L311" s="376">
        <f>I311/K311*100-100</f>
        <v>19.6034979959975</v>
      </c>
      <c r="N311" s="358">
        <f t="shared" si="25"/>
        <v>0</v>
      </c>
    </row>
    <row r="312" spans="1:14" ht="15.75" hidden="1">
      <c r="A312" s="136"/>
      <c r="B312" s="53"/>
      <c r="C312" s="430"/>
      <c r="D312" s="594" t="s">
        <v>2313</v>
      </c>
      <c r="E312" s="595">
        <f>'Тарифные ставки'!$B$6</f>
        <v>148.166</v>
      </c>
      <c r="F312" s="54">
        <v>4</v>
      </c>
      <c r="G312" s="54">
        <f t="shared" si="28"/>
        <v>592.664</v>
      </c>
      <c r="H312" s="607"/>
      <c r="I312" s="607">
        <f>H312*'Тарифные ставки'!$B$14*'Тарифные ставки'!$B$15</f>
        <v>0</v>
      </c>
      <c r="J312" s="648"/>
      <c r="N312" s="358"/>
    </row>
    <row r="313" spans="1:14" ht="38.25" customHeight="1">
      <c r="A313" s="136" t="s">
        <v>240</v>
      </c>
      <c r="B313" s="53" t="s">
        <v>2394</v>
      </c>
      <c r="C313" s="430" t="s">
        <v>811</v>
      </c>
      <c r="D313" s="594" t="s">
        <v>2312</v>
      </c>
      <c r="E313" s="34">
        <f>'Тарифные ставки'!$B$5</f>
        <v>137.4825</v>
      </c>
      <c r="F313" s="54">
        <v>2.5</v>
      </c>
      <c r="G313" s="54">
        <f t="shared" si="28"/>
        <v>343.70624999999995</v>
      </c>
      <c r="H313" s="428">
        <f>G313*'Тарифные ставки'!$B$13</f>
        <v>886.7621249999999</v>
      </c>
      <c r="I313" s="432">
        <f>H313*'Тарифные ставки'!$B$14*'Тарифные ставки'!$B$15</f>
        <v>1074.7556954999998</v>
      </c>
      <c r="J313" s="412">
        <f>I313-I313/'Тарифные ставки'!$B$15</f>
        <v>179.12594924999996</v>
      </c>
      <c r="K313" s="376">
        <v>899.0734500000002</v>
      </c>
      <c r="L313" s="376">
        <f>I313/K313*100-100</f>
        <v>19.540366307113118</v>
      </c>
      <c r="N313" s="358">
        <f t="shared" si="25"/>
        <v>0</v>
      </c>
    </row>
    <row r="314" spans="1:14" ht="33" customHeight="1">
      <c r="A314" s="136" t="s">
        <v>241</v>
      </c>
      <c r="B314" s="53" t="s">
        <v>2430</v>
      </c>
      <c r="C314" s="430" t="s">
        <v>812</v>
      </c>
      <c r="D314" s="594" t="s">
        <v>2312</v>
      </c>
      <c r="E314" s="34">
        <f>'Тарифные ставки'!$B$5</f>
        <v>137.4825</v>
      </c>
      <c r="F314" s="54">
        <v>0.25</v>
      </c>
      <c r="G314" s="54">
        <f t="shared" si="28"/>
        <v>34.370625</v>
      </c>
      <c r="H314" s="428">
        <f>G314*'Тарифные ставки'!$B$13</f>
        <v>88.67621249999999</v>
      </c>
      <c r="I314" s="428">
        <f>H314*'Тарифные ставки'!$B$14*'Тарифные ставки'!$B$15</f>
        <v>107.47556954999999</v>
      </c>
      <c r="J314" s="407">
        <f>I314-I314/'Тарифные ставки'!$B$15</f>
        <v>17.912594924999993</v>
      </c>
      <c r="K314" s="376">
        <v>89.907345</v>
      </c>
      <c r="L314" s="376">
        <f>I314/K314*100-100</f>
        <v>19.54036630711316</v>
      </c>
      <c r="M314" s="3">
        <v>112</v>
      </c>
      <c r="N314" s="358">
        <f t="shared" si="25"/>
        <v>104.20972921468925</v>
      </c>
    </row>
    <row r="315" spans="1:14" ht="19.5" customHeight="1">
      <c r="A315" s="135"/>
      <c r="B315" s="59" t="s">
        <v>576</v>
      </c>
      <c r="C315" s="433"/>
      <c r="D315" s="434" t="s">
        <v>2312</v>
      </c>
      <c r="E315" s="28">
        <f>'Тарифные ставки'!$B$5</f>
        <v>137.4825</v>
      </c>
      <c r="F315" s="202">
        <v>0.35</v>
      </c>
      <c r="G315" s="20">
        <f t="shared" si="28"/>
        <v>48.118874999999996</v>
      </c>
      <c r="H315" s="405">
        <f>G315*'Тарифные ставки'!$B$13</f>
        <v>124.14669749999999</v>
      </c>
      <c r="I315" s="405">
        <f>H315*'Тарифные ставки'!$B$14*'Тарифные ставки'!$B$15</f>
        <v>150.46579736999996</v>
      </c>
      <c r="J315" s="409">
        <f>I315-I315/'Тарифные ставки'!$B$15</f>
        <v>25.077632894999994</v>
      </c>
      <c r="K315" s="376">
        <v>125.870283</v>
      </c>
      <c r="L315" s="376">
        <f>I315/K315*100-100</f>
        <v>19.540366307113132</v>
      </c>
      <c r="M315" s="3">
        <v>156</v>
      </c>
      <c r="N315" s="358">
        <f t="shared" si="25"/>
        <v>103.67804692277758</v>
      </c>
    </row>
    <row r="316" spans="1:14" ht="15.75">
      <c r="A316" s="297" t="s">
        <v>2510</v>
      </c>
      <c r="B316" s="297"/>
      <c r="C316" s="345"/>
      <c r="D316" s="345"/>
      <c r="E316" s="345"/>
      <c r="F316" s="345"/>
      <c r="G316" s="345"/>
      <c r="H316" s="423"/>
      <c r="I316" s="423"/>
      <c r="J316" s="423">
        <f>I316-I316/'Тарифные ставки'!$B$15</f>
        <v>0</v>
      </c>
      <c r="N316" s="358"/>
    </row>
    <row r="317" spans="1:14" ht="19.5" customHeight="1">
      <c r="A317" s="139" t="s">
        <v>242</v>
      </c>
      <c r="B317" s="53" t="s">
        <v>2006</v>
      </c>
      <c r="C317" s="347" t="s">
        <v>813</v>
      </c>
      <c r="D317" s="435" t="s">
        <v>2314</v>
      </c>
      <c r="E317" s="34">
        <f>'Тарифные ставки'!$B$5</f>
        <v>137.4825</v>
      </c>
      <c r="F317" s="54">
        <v>2.2</v>
      </c>
      <c r="G317" s="54">
        <f aca="true" t="shared" si="29" ref="G317:G358">E317*F317</f>
        <v>302.4615</v>
      </c>
      <c r="H317" s="428">
        <f>G317*'Тарифные ставки'!$B$13</f>
        <v>780.35067</v>
      </c>
      <c r="I317" s="432">
        <f>H317*'Тарифные ставки'!$B$14*'Тарифные ставки'!$B$15</f>
        <v>945.78501204</v>
      </c>
      <c r="J317" s="407">
        <f>I317-I317/'Тарифные ставки'!$B$15</f>
        <v>157.63083533999998</v>
      </c>
      <c r="K317" s="376">
        <v>791.1846360000002</v>
      </c>
      <c r="L317" s="376">
        <f>I317/K317*100-100</f>
        <v>19.540366307113132</v>
      </c>
      <c r="N317" s="358">
        <f t="shared" si="25"/>
        <v>0</v>
      </c>
    </row>
    <row r="318" spans="1:14" ht="20.25" customHeight="1">
      <c r="A318" s="143" t="s">
        <v>243</v>
      </c>
      <c r="B318" s="613" t="s">
        <v>577</v>
      </c>
      <c r="C318" s="436" t="s">
        <v>813</v>
      </c>
      <c r="D318" s="437" t="s">
        <v>2314</v>
      </c>
      <c r="E318" s="34">
        <f>'Тарифные ставки'!$B$5</f>
        <v>137.4825</v>
      </c>
      <c r="F318" s="57">
        <v>1.45</v>
      </c>
      <c r="G318" s="57">
        <f t="shared" si="29"/>
        <v>199.34962499999997</v>
      </c>
      <c r="H318" s="605">
        <f>(G318+G319)*'Тарифные ставки'!$B$13</f>
        <v>1028.644065</v>
      </c>
      <c r="I318" s="605">
        <f>H318*'Тарифные ставки'!$B$14*'Тарифные ставки'!$B$15</f>
        <v>1246.71660678</v>
      </c>
      <c r="J318" s="408">
        <f>I318-I318/'Тарифные ставки'!$B$15</f>
        <v>207.7861011299999</v>
      </c>
      <c r="K318" s="376">
        <v>1042.925202</v>
      </c>
      <c r="L318" s="376">
        <f>I318/K318*100-100</f>
        <v>19.540366307113175</v>
      </c>
      <c r="M318" s="3">
        <v>1231</v>
      </c>
      <c r="N318" s="358">
        <f t="shared" si="25"/>
        <v>98.73936011644278</v>
      </c>
    </row>
    <row r="319" spans="1:14" ht="15.75" hidden="1">
      <c r="A319" s="145"/>
      <c r="B319" s="614"/>
      <c r="C319" s="438"/>
      <c r="D319" s="439" t="s">
        <v>2314</v>
      </c>
      <c r="E319" s="34">
        <f>'Тарифные ставки'!$B$5</f>
        <v>137.4825</v>
      </c>
      <c r="F319" s="20">
        <v>1.45</v>
      </c>
      <c r="G319" s="20">
        <f t="shared" si="29"/>
        <v>199.34962499999997</v>
      </c>
      <c r="H319" s="606"/>
      <c r="I319" s="606">
        <f>H319*'Тарифные ставки'!$B$14*'Тарифные ставки'!$B$15</f>
        <v>0</v>
      </c>
      <c r="J319" s="409">
        <f>I319-I319/'Тарифные ставки'!$B$15</f>
        <v>0</v>
      </c>
      <c r="N319" s="358"/>
    </row>
    <row r="320" spans="1:14" ht="15.75">
      <c r="A320" s="143" t="s">
        <v>244</v>
      </c>
      <c r="B320" s="613" t="s">
        <v>2435</v>
      </c>
      <c r="C320" s="436" t="s">
        <v>813</v>
      </c>
      <c r="D320" s="437" t="s">
        <v>2314</v>
      </c>
      <c r="E320" s="34">
        <f>'Тарифные ставки'!$B$5</f>
        <v>137.4825</v>
      </c>
      <c r="F320" s="19">
        <v>3.5</v>
      </c>
      <c r="G320" s="19">
        <f t="shared" si="29"/>
        <v>481.18874999999997</v>
      </c>
      <c r="H320" s="605">
        <f>(G320+G321)*'Тарифные ставки'!$B$13</f>
        <v>2482.93395</v>
      </c>
      <c r="I320" s="605">
        <f>H320*'Тарифные ставки'!$B$14*'Тарифные ставки'!$B$15</f>
        <v>3009.3159474</v>
      </c>
      <c r="J320" s="412">
        <f>I320-I320/'Тарифные ставки'!$B$15</f>
        <v>501.55265789999976</v>
      </c>
      <c r="K320" s="376">
        <v>2517.40566</v>
      </c>
      <c r="L320" s="376">
        <f>I320/K320*100-100</f>
        <v>19.540366307113175</v>
      </c>
      <c r="M320" s="3">
        <v>2968</v>
      </c>
      <c r="N320" s="358">
        <f t="shared" si="25"/>
        <v>98.6270651496166</v>
      </c>
    </row>
    <row r="321" spans="1:14" ht="15.75" hidden="1">
      <c r="A321" s="145"/>
      <c r="B321" s="614"/>
      <c r="C321" s="438"/>
      <c r="D321" s="439" t="s">
        <v>2314</v>
      </c>
      <c r="E321" s="34">
        <f>'Тарифные ставки'!$B$5</f>
        <v>137.4825</v>
      </c>
      <c r="F321" s="20">
        <v>3.5</v>
      </c>
      <c r="G321" s="20">
        <f t="shared" si="29"/>
        <v>481.18874999999997</v>
      </c>
      <c r="H321" s="606"/>
      <c r="I321" s="606">
        <f>H321*'Тарифные ставки'!$B$14*'Тарифные ставки'!$B$15</f>
        <v>0</v>
      </c>
      <c r="J321" s="409">
        <f>I321-I321/'Тарифные ставки'!$B$15</f>
        <v>0</v>
      </c>
      <c r="N321" s="358"/>
    </row>
    <row r="322" spans="1:14" ht="31.5">
      <c r="A322" s="139" t="s">
        <v>245</v>
      </c>
      <c r="B322" s="53" t="s">
        <v>2432</v>
      </c>
      <c r="C322" s="346" t="s">
        <v>813</v>
      </c>
      <c r="D322" s="435" t="s">
        <v>2312</v>
      </c>
      <c r="E322" s="34">
        <f>'Тарифные ставки'!$B$5</f>
        <v>137.4825</v>
      </c>
      <c r="F322" s="54">
        <v>4.5</v>
      </c>
      <c r="G322" s="54">
        <f>E322*F322</f>
        <v>618.67125</v>
      </c>
      <c r="H322" s="428">
        <f>G322*'Тарифные ставки'!$B$13</f>
        <v>1596.171825</v>
      </c>
      <c r="I322" s="428">
        <f>H322*'Тарифные ставки'!$B$14*'Тарифные ставки'!$B$15</f>
        <v>1934.5602519</v>
      </c>
      <c r="J322" s="407">
        <f>I322-I322/'Тарифные ставки'!$B$15</f>
        <v>322.4267086499999</v>
      </c>
      <c r="K322" s="376">
        <v>1618.3322100000003</v>
      </c>
      <c r="L322" s="376">
        <f aca="true" t="shared" si="30" ref="L322:L358">I322/K322*100-100</f>
        <v>19.54036630711316</v>
      </c>
      <c r="M322" s="3">
        <v>2006</v>
      </c>
      <c r="N322" s="358">
        <f t="shared" si="25"/>
        <v>103.69281587533065</v>
      </c>
    </row>
    <row r="323" spans="1:14" ht="66" customHeight="1">
      <c r="A323" s="324" t="s">
        <v>246</v>
      </c>
      <c r="B323" s="613" t="s">
        <v>2401</v>
      </c>
      <c r="C323" s="342" t="s">
        <v>813</v>
      </c>
      <c r="D323" s="440" t="s">
        <v>2282</v>
      </c>
      <c r="E323" s="429">
        <f>'Тарифные ставки'!$B$4</f>
        <v>148.166</v>
      </c>
      <c r="F323" s="201">
        <v>3.5</v>
      </c>
      <c r="G323" s="19">
        <f t="shared" si="29"/>
        <v>518.581</v>
      </c>
      <c r="H323" s="605">
        <f>(G323+G324)*'Тарифные ставки'!$B$13</f>
        <v>2579.4059549999997</v>
      </c>
      <c r="I323" s="404">
        <f>H323*'Тарифные ставки'!$B$14*'Тарифные ставки'!$B$15</f>
        <v>3126.2400174599993</v>
      </c>
      <c r="J323" s="407">
        <f>I323-I323/'Тарифные ставки'!$B$15</f>
        <v>521.0400029099997</v>
      </c>
      <c r="K323" s="376">
        <v>2613.8366100000003</v>
      </c>
      <c r="L323" s="376">
        <f t="shared" si="30"/>
        <v>19.6034979959975</v>
      </c>
      <c r="M323" s="3">
        <v>3715</v>
      </c>
      <c r="N323" s="358">
        <f t="shared" si="25"/>
        <v>118.83284646258079</v>
      </c>
    </row>
    <row r="324" spans="1:14" ht="57" customHeight="1" hidden="1">
      <c r="A324" s="321"/>
      <c r="B324" s="614"/>
      <c r="C324" s="344"/>
      <c r="D324" s="441" t="s">
        <v>2312</v>
      </c>
      <c r="E324" s="34">
        <f>'Тарифные ставки'!$B$5</f>
        <v>137.4825</v>
      </c>
      <c r="F324" s="202">
        <v>3.5</v>
      </c>
      <c r="G324" s="20">
        <f t="shared" si="29"/>
        <v>481.18874999999997</v>
      </c>
      <c r="H324" s="606"/>
      <c r="I324" s="405"/>
      <c r="J324" s="409">
        <f>I324-I324/'Тарифные ставки'!$B$15</f>
        <v>0</v>
      </c>
      <c r="N324" s="358"/>
    </row>
    <row r="325" spans="1:14" ht="15.75">
      <c r="A325" s="139" t="s">
        <v>247</v>
      </c>
      <c r="B325" s="53" t="s">
        <v>2433</v>
      </c>
      <c r="C325" s="346" t="s">
        <v>813</v>
      </c>
      <c r="D325" s="441" t="s">
        <v>2312</v>
      </c>
      <c r="E325" s="34">
        <f>'Тарифные ставки'!$B$5</f>
        <v>137.4825</v>
      </c>
      <c r="F325" s="20">
        <v>1.44</v>
      </c>
      <c r="G325" s="20">
        <f>E325*F325</f>
        <v>197.9748</v>
      </c>
      <c r="H325" s="428">
        <f>G325*'Тарифные ставки'!$B$13</f>
        <v>510.77498399999996</v>
      </c>
      <c r="I325" s="404">
        <f>H325*'Тарифные ставки'!$B$14*'Тарифные ставки'!$B$15</f>
        <v>619.059280608</v>
      </c>
      <c r="J325" s="409">
        <f>I325-I325/'Тарифные ставки'!$B$15</f>
        <v>103.17654676799998</v>
      </c>
      <c r="K325" s="376">
        <v>517.8663071999999</v>
      </c>
      <c r="L325" s="376">
        <f t="shared" si="30"/>
        <v>19.540366307113175</v>
      </c>
      <c r="M325" s="3">
        <v>561</v>
      </c>
      <c r="N325" s="358">
        <f t="shared" si="25"/>
        <v>90.62136980630063</v>
      </c>
    </row>
    <row r="326" spans="1:14" ht="15.75">
      <c r="A326" s="139" t="s">
        <v>248</v>
      </c>
      <c r="B326" s="53" t="s">
        <v>578</v>
      </c>
      <c r="C326" s="346" t="s">
        <v>814</v>
      </c>
      <c r="D326" s="441" t="s">
        <v>2312</v>
      </c>
      <c r="E326" s="34">
        <f>'Тарифные ставки'!$B$5</f>
        <v>137.4825</v>
      </c>
      <c r="F326" s="20">
        <v>2</v>
      </c>
      <c r="G326" s="20">
        <f t="shared" si="29"/>
        <v>274.965</v>
      </c>
      <c r="H326" s="428">
        <f>G326*'Тарифные ставки'!$B$13</f>
        <v>709.4096999999999</v>
      </c>
      <c r="I326" s="404">
        <f>H326*'Тарифные ставки'!$B$14*'Тарифные ставки'!$B$15</f>
        <v>859.8045563999999</v>
      </c>
      <c r="J326" s="409">
        <f>I326-I326/'Тарифные ставки'!$B$15</f>
        <v>143.30075939999995</v>
      </c>
      <c r="K326" s="376">
        <v>719.25876</v>
      </c>
      <c r="L326" s="376">
        <f t="shared" si="30"/>
        <v>19.54036630711316</v>
      </c>
      <c r="M326" s="3">
        <v>2679</v>
      </c>
      <c r="N326" s="358">
        <f t="shared" si="25"/>
        <v>311.58243813186664</v>
      </c>
    </row>
    <row r="327" spans="1:14" ht="15.75" customHeight="1" hidden="1">
      <c r="A327" s="324" t="s">
        <v>249</v>
      </c>
      <c r="B327" s="17" t="s">
        <v>579</v>
      </c>
      <c r="C327" s="342" t="s">
        <v>814</v>
      </c>
      <c r="D327" s="440" t="s">
        <v>2282</v>
      </c>
      <c r="E327" s="34">
        <f>'Тарифные ставки'!$B$5</f>
        <v>137.4825</v>
      </c>
      <c r="F327" s="19">
        <v>3.8</v>
      </c>
      <c r="G327" s="19">
        <f t="shared" si="29"/>
        <v>522.4335</v>
      </c>
      <c r="H327" s="428">
        <f>G327*'Тарифные ставки'!$B$13</f>
        <v>1347.87843</v>
      </c>
      <c r="I327" s="404">
        <f aca="true" t="shared" si="31" ref="I327:I335">H327*1.1*1.2</f>
        <v>1779.1995276</v>
      </c>
      <c r="J327" s="412">
        <f>I327-I327/'Тарифные ставки'!$B$15</f>
        <v>296.53325459999996</v>
      </c>
      <c r="L327" s="376" t="e">
        <f t="shared" si="30"/>
        <v>#DIV/0!</v>
      </c>
      <c r="N327" s="358">
        <f t="shared" si="25"/>
        <v>0</v>
      </c>
    </row>
    <row r="328" spans="1:14" ht="15.75" customHeight="1" hidden="1">
      <c r="A328" s="321"/>
      <c r="B328" s="18"/>
      <c r="C328" s="344"/>
      <c r="D328" s="441" t="s">
        <v>2312</v>
      </c>
      <c r="E328" s="34">
        <f>'Тарифные ставки'!$B$5</f>
        <v>137.4825</v>
      </c>
      <c r="F328" s="20">
        <v>3.8</v>
      </c>
      <c r="G328" s="20">
        <f t="shared" si="29"/>
        <v>522.4335</v>
      </c>
      <c r="H328" s="428">
        <f>G328*'Тарифные ставки'!$B$13</f>
        <v>1347.87843</v>
      </c>
      <c r="I328" s="404">
        <f t="shared" si="31"/>
        <v>1779.1995276</v>
      </c>
      <c r="J328" s="409">
        <f>I328-I328/'Тарифные ставки'!$B$15</f>
        <v>296.53325459999996</v>
      </c>
      <c r="L328" s="376" t="e">
        <f t="shared" si="30"/>
        <v>#DIV/0!</v>
      </c>
      <c r="N328" s="358">
        <f t="shared" si="25"/>
        <v>0</v>
      </c>
    </row>
    <row r="329" spans="1:14" ht="15.75" customHeight="1" hidden="1">
      <c r="A329" s="324" t="s">
        <v>250</v>
      </c>
      <c r="B329" s="17" t="s">
        <v>580</v>
      </c>
      <c r="C329" s="342" t="s">
        <v>814</v>
      </c>
      <c r="D329" s="440" t="s">
        <v>2282</v>
      </c>
      <c r="E329" s="34">
        <f>'Тарифные ставки'!$B$5</f>
        <v>137.4825</v>
      </c>
      <c r="F329" s="19">
        <v>8</v>
      </c>
      <c r="G329" s="19">
        <f t="shared" si="29"/>
        <v>1099.86</v>
      </c>
      <c r="H329" s="428">
        <f>G329*'Тарифные ставки'!$B$13</f>
        <v>2837.6387999999997</v>
      </c>
      <c r="I329" s="404">
        <f t="shared" si="31"/>
        <v>3745.683216</v>
      </c>
      <c r="J329" s="412">
        <f>I329-I329/'Тарифные ставки'!$B$15</f>
        <v>624.2805359999998</v>
      </c>
      <c r="L329" s="376" t="e">
        <f t="shared" si="30"/>
        <v>#DIV/0!</v>
      </c>
      <c r="N329" s="358">
        <f aca="true" t="shared" si="32" ref="N329:N358">M329/I329*100</f>
        <v>0</v>
      </c>
    </row>
    <row r="330" spans="1:14" ht="15.75" customHeight="1" hidden="1">
      <c r="A330" s="321"/>
      <c r="B330" s="18"/>
      <c r="C330" s="344"/>
      <c r="D330" s="441" t="s">
        <v>2312</v>
      </c>
      <c r="E330" s="34">
        <f>'Тарифные ставки'!$B$5</f>
        <v>137.4825</v>
      </c>
      <c r="F330" s="20">
        <v>8</v>
      </c>
      <c r="G330" s="20">
        <f t="shared" si="29"/>
        <v>1099.86</v>
      </c>
      <c r="H330" s="428">
        <f>G330*'Тарифные ставки'!$B$13</f>
        <v>2837.6387999999997</v>
      </c>
      <c r="I330" s="404">
        <f t="shared" si="31"/>
        <v>3745.683216</v>
      </c>
      <c r="J330" s="409">
        <f>I330-I330/'Тарифные ставки'!$B$15</f>
        <v>624.2805359999998</v>
      </c>
      <c r="L330" s="376" t="e">
        <f t="shared" si="30"/>
        <v>#DIV/0!</v>
      </c>
      <c r="N330" s="358">
        <f t="shared" si="32"/>
        <v>0</v>
      </c>
    </row>
    <row r="331" spans="1:14" ht="15.75" customHeight="1" hidden="1">
      <c r="A331" s="324" t="s">
        <v>2138</v>
      </c>
      <c r="B331" s="613" t="s">
        <v>952</v>
      </c>
      <c r="C331" s="342" t="s">
        <v>814</v>
      </c>
      <c r="D331" s="437" t="s">
        <v>2312</v>
      </c>
      <c r="E331" s="34">
        <f>'Тарифные ставки'!$B$5</f>
        <v>137.4825</v>
      </c>
      <c r="F331" s="19">
        <v>2.8</v>
      </c>
      <c r="G331" s="19">
        <f t="shared" si="29"/>
        <v>384.95099999999996</v>
      </c>
      <c r="H331" s="428">
        <f>G331*'Тарифные ставки'!$B$13</f>
        <v>993.1735799999999</v>
      </c>
      <c r="I331" s="404">
        <f t="shared" si="31"/>
        <v>1310.9891255999999</v>
      </c>
      <c r="J331" s="412">
        <f>I331-I331/'Тарифные ставки'!$B$15</f>
        <v>218.49818759999994</v>
      </c>
      <c r="L331" s="376" t="e">
        <f t="shared" si="30"/>
        <v>#DIV/0!</v>
      </c>
      <c r="N331" s="358">
        <f t="shared" si="32"/>
        <v>0</v>
      </c>
    </row>
    <row r="332" spans="1:14" ht="15.75" customHeight="1" hidden="1">
      <c r="A332" s="320"/>
      <c r="B332" s="627"/>
      <c r="C332" s="442"/>
      <c r="D332" s="443" t="s">
        <v>2313</v>
      </c>
      <c r="E332" s="34">
        <f>'Тарифные ставки'!$B$5</f>
        <v>137.4825</v>
      </c>
      <c r="F332" s="57">
        <v>2.8</v>
      </c>
      <c r="G332" s="57">
        <f t="shared" si="29"/>
        <v>384.95099999999996</v>
      </c>
      <c r="H332" s="428">
        <f>G332*'Тарифные ставки'!$B$13</f>
        <v>993.1735799999999</v>
      </c>
      <c r="I332" s="404">
        <f t="shared" si="31"/>
        <v>1310.9891255999999</v>
      </c>
      <c r="J332" s="408">
        <f>I332-I332/'Тарифные ставки'!$B$15</f>
        <v>218.49818759999994</v>
      </c>
      <c r="L332" s="376" t="e">
        <f t="shared" si="30"/>
        <v>#DIV/0!</v>
      </c>
      <c r="N332" s="358">
        <f t="shared" si="32"/>
        <v>0</v>
      </c>
    </row>
    <row r="333" spans="1:14" s="22" customFormat="1" ht="15.75" customHeight="1" hidden="1">
      <c r="A333" s="326" t="s">
        <v>2139</v>
      </c>
      <c r="B333" s="613" t="s">
        <v>2007</v>
      </c>
      <c r="C333" s="341" t="s">
        <v>2146</v>
      </c>
      <c r="D333" s="444" t="s">
        <v>2282</v>
      </c>
      <c r="E333" s="34">
        <f>'Тарифные ставки'!$B$5</f>
        <v>137.4825</v>
      </c>
      <c r="F333" s="19">
        <v>6.5</v>
      </c>
      <c r="G333" s="19">
        <f t="shared" si="29"/>
        <v>893.6362499999999</v>
      </c>
      <c r="H333" s="428">
        <f>G333*'Тарифные ставки'!$B$13</f>
        <v>2305.5815249999996</v>
      </c>
      <c r="I333" s="404">
        <f t="shared" si="31"/>
        <v>3043.367613</v>
      </c>
      <c r="J333" s="412">
        <f>I333-I333/'Тарифные ставки'!$B$15</f>
        <v>507.22793550000006</v>
      </c>
      <c r="K333" s="389"/>
      <c r="L333" s="376" t="e">
        <f t="shared" si="30"/>
        <v>#DIV/0!</v>
      </c>
      <c r="N333" s="358">
        <f t="shared" si="32"/>
        <v>0</v>
      </c>
    </row>
    <row r="334" spans="1:14" s="22" customFormat="1" ht="15.75" customHeight="1" hidden="1">
      <c r="A334" s="322"/>
      <c r="B334" s="627"/>
      <c r="C334" s="445"/>
      <c r="D334" s="446" t="s">
        <v>2312</v>
      </c>
      <c r="E334" s="34">
        <f>'Тарифные ставки'!$B$5</f>
        <v>137.4825</v>
      </c>
      <c r="F334" s="57">
        <v>8.6</v>
      </c>
      <c r="G334" s="57">
        <f t="shared" si="29"/>
        <v>1182.3494999999998</v>
      </c>
      <c r="H334" s="428">
        <f>G334*'Тарифные ставки'!$B$13</f>
        <v>3050.4617099999996</v>
      </c>
      <c r="I334" s="404">
        <f t="shared" si="31"/>
        <v>4026.6094571999997</v>
      </c>
      <c r="J334" s="408">
        <f>I334-I334/'Тарифные ставки'!$B$15</f>
        <v>671.1015761999997</v>
      </c>
      <c r="K334" s="389"/>
      <c r="L334" s="376" t="e">
        <f t="shared" si="30"/>
        <v>#DIV/0!</v>
      </c>
      <c r="N334" s="358">
        <f t="shared" si="32"/>
        <v>0</v>
      </c>
    </row>
    <row r="335" spans="1:14" s="22" customFormat="1" ht="15.75" customHeight="1" hidden="1">
      <c r="A335" s="323"/>
      <c r="B335" s="614"/>
      <c r="C335" s="433"/>
      <c r="D335" s="439" t="s">
        <v>2281</v>
      </c>
      <c r="E335" s="34">
        <f>'Тарифные ставки'!$B$5</f>
        <v>137.4825</v>
      </c>
      <c r="F335" s="20">
        <v>6.4</v>
      </c>
      <c r="G335" s="20">
        <f t="shared" si="29"/>
        <v>879.8879999999999</v>
      </c>
      <c r="H335" s="428">
        <f>G335*'Тарифные ставки'!$B$13</f>
        <v>2270.11104</v>
      </c>
      <c r="I335" s="404">
        <f t="shared" si="31"/>
        <v>2996.5465728</v>
      </c>
      <c r="J335" s="409">
        <f>I335-I335/'Тарифные ставки'!$B$15</f>
        <v>499.4244288</v>
      </c>
      <c r="K335" s="389"/>
      <c r="L335" s="376" t="e">
        <f t="shared" si="30"/>
        <v>#DIV/0!</v>
      </c>
      <c r="N335" s="358">
        <f t="shared" si="32"/>
        <v>0</v>
      </c>
    </row>
    <row r="336" spans="1:14" ht="47.25">
      <c r="A336" s="146" t="s">
        <v>2140</v>
      </c>
      <c r="B336" s="18" t="s">
        <v>953</v>
      </c>
      <c r="C336" s="340" t="s">
        <v>807</v>
      </c>
      <c r="D336" s="441" t="s">
        <v>2312</v>
      </c>
      <c r="E336" s="34">
        <f>'Тарифные ставки'!$B$5</f>
        <v>137.4825</v>
      </c>
      <c r="F336" s="20">
        <v>3.6</v>
      </c>
      <c r="G336" s="20">
        <f t="shared" si="29"/>
        <v>494.93699999999995</v>
      </c>
      <c r="H336" s="428">
        <f>G336*'Тарифные ставки'!$B$13</f>
        <v>1276.9374599999999</v>
      </c>
      <c r="I336" s="404">
        <f>H336*'Тарифные ставки'!$B$14*'Тарифные ставки'!$B$15</f>
        <v>1547.6482015199997</v>
      </c>
      <c r="J336" s="409">
        <f>I336-I336/'Тарифные ставки'!$B$15</f>
        <v>257.94136691999984</v>
      </c>
      <c r="K336" s="391">
        <v>1294.6657680000003</v>
      </c>
      <c r="L336" s="391">
        <f t="shared" si="30"/>
        <v>19.540366307113132</v>
      </c>
      <c r="M336" s="3">
        <v>1114</v>
      </c>
      <c r="N336" s="358">
        <f t="shared" si="32"/>
        <v>71.98018250568194</v>
      </c>
    </row>
    <row r="337" spans="1:14" ht="15.75">
      <c r="A337" s="143" t="s">
        <v>2141</v>
      </c>
      <c r="B337" s="613" t="s">
        <v>954</v>
      </c>
      <c r="C337" s="342" t="s">
        <v>808</v>
      </c>
      <c r="D337" s="437" t="s">
        <v>2313</v>
      </c>
      <c r="E337" s="429">
        <f>'Тарифные ставки'!$B$6</f>
        <v>148.166</v>
      </c>
      <c r="F337" s="19">
        <v>3</v>
      </c>
      <c r="G337" s="19">
        <f t="shared" si="29"/>
        <v>444.498</v>
      </c>
      <c r="H337" s="605">
        <f>(G337+G338)*'Тарифные ставки'!$B$13</f>
        <v>2210.91939</v>
      </c>
      <c r="I337" s="605">
        <f>H337*'Тарифные ставки'!$B$14*'Тарифные ставки'!$B$15</f>
        <v>2679.63430068</v>
      </c>
      <c r="J337" s="412">
        <f>I337-I337/'Тарифные ставки'!$B$15</f>
        <v>446.60571677999997</v>
      </c>
      <c r="K337" s="376">
        <v>2240.4313800000004</v>
      </c>
      <c r="L337" s="376">
        <f t="shared" si="30"/>
        <v>19.6034979959975</v>
      </c>
      <c r="N337" s="358">
        <f t="shared" si="32"/>
        <v>0</v>
      </c>
    </row>
    <row r="338" spans="1:14" ht="15.75">
      <c r="A338" s="145"/>
      <c r="B338" s="614"/>
      <c r="C338" s="344" t="s">
        <v>809</v>
      </c>
      <c r="D338" s="439" t="s">
        <v>2312</v>
      </c>
      <c r="E338" s="34">
        <f>'Тарифные ставки'!$B$5</f>
        <v>137.4825</v>
      </c>
      <c r="F338" s="20">
        <v>3</v>
      </c>
      <c r="G338" s="20">
        <f t="shared" si="29"/>
        <v>412.4475</v>
      </c>
      <c r="H338" s="606"/>
      <c r="I338" s="606">
        <f>H338*'Тарифные ставки'!$B$14*'Тарифные ставки'!$B$15</f>
        <v>0</v>
      </c>
      <c r="J338" s="409">
        <f>I338-I338/'Тарифные ставки'!$B$15</f>
        <v>0</v>
      </c>
      <c r="N338" s="358"/>
    </row>
    <row r="339" spans="1:14" ht="15.75">
      <c r="A339" s="139" t="s">
        <v>2142</v>
      </c>
      <c r="B339" s="53" t="s">
        <v>955</v>
      </c>
      <c r="C339" s="447" t="s">
        <v>815</v>
      </c>
      <c r="D339" s="437" t="s">
        <v>2313</v>
      </c>
      <c r="E339" s="429">
        <f>'Тарифные ставки'!$B$6</f>
        <v>148.166</v>
      </c>
      <c r="F339" s="54">
        <v>1.5</v>
      </c>
      <c r="G339" s="54">
        <f t="shared" si="29"/>
        <v>222.249</v>
      </c>
      <c r="H339" s="428">
        <f>G339*'Тарифные ставки'!$B$13</f>
        <v>573.40242</v>
      </c>
      <c r="I339" s="428">
        <f>H339*'Тарифные ставки'!$B$14*'Тарифные ставки'!$B$15</f>
        <v>694.96373304</v>
      </c>
      <c r="J339" s="409">
        <f>I339-I339/'Тарифные ставки'!$B$15</f>
        <v>115.82728883999994</v>
      </c>
      <c r="K339" s="376">
        <v>580.7716200000001</v>
      </c>
      <c r="L339" s="376">
        <f t="shared" si="30"/>
        <v>19.662137251128044</v>
      </c>
      <c r="N339" s="358">
        <f t="shared" si="32"/>
        <v>0</v>
      </c>
    </row>
    <row r="340" spans="1:14" ht="15.75">
      <c r="A340" s="143" t="s">
        <v>2143</v>
      </c>
      <c r="B340" s="613" t="s">
        <v>816</v>
      </c>
      <c r="C340" s="342" t="s">
        <v>811</v>
      </c>
      <c r="D340" s="444" t="s">
        <v>2282</v>
      </c>
      <c r="E340" s="429">
        <f>'Тарифные ставки'!$B$4</f>
        <v>148.166</v>
      </c>
      <c r="F340" s="19">
        <v>1.5</v>
      </c>
      <c r="G340" s="19">
        <f t="shared" si="29"/>
        <v>222.249</v>
      </c>
      <c r="H340" s="605">
        <f>(G340+G341)*'Тарифные ставки'!$B$13</f>
        <v>1105.459695</v>
      </c>
      <c r="I340" s="605">
        <f>H340*'Тарифные ставки'!$B$14*'Тарифные ставки'!$B$15</f>
        <v>1339.81715034</v>
      </c>
      <c r="J340" s="647">
        <f>I340-I340/'Тарифные ставки'!$B$15</f>
        <v>223.30285838999998</v>
      </c>
      <c r="K340" s="376">
        <v>1120.2156900000002</v>
      </c>
      <c r="L340" s="376">
        <f t="shared" si="30"/>
        <v>19.6034979959975</v>
      </c>
      <c r="N340" s="358">
        <f t="shared" si="32"/>
        <v>0</v>
      </c>
    </row>
    <row r="341" spans="1:14" ht="15.75">
      <c r="A341" s="145"/>
      <c r="B341" s="614"/>
      <c r="C341" s="344"/>
      <c r="D341" s="446" t="s">
        <v>2312</v>
      </c>
      <c r="E341" s="34">
        <f>'Тарифные ставки'!$B$5</f>
        <v>137.4825</v>
      </c>
      <c r="F341" s="20">
        <v>1.5</v>
      </c>
      <c r="G341" s="20">
        <f t="shared" si="29"/>
        <v>206.22375</v>
      </c>
      <c r="H341" s="606"/>
      <c r="I341" s="606">
        <f>H341*'Тарифные ставки'!$B$14*'Тарифные ставки'!$B$15</f>
        <v>0</v>
      </c>
      <c r="J341" s="648"/>
      <c r="N341" s="358"/>
    </row>
    <row r="342" spans="1:14" ht="15.75">
      <c r="A342" s="143" t="s">
        <v>2144</v>
      </c>
      <c r="B342" s="613" t="s">
        <v>817</v>
      </c>
      <c r="C342" s="342" t="s">
        <v>810</v>
      </c>
      <c r="D342" s="437" t="s">
        <v>2313</v>
      </c>
      <c r="E342" s="429">
        <f>'Тарифные ставки'!$B$6</f>
        <v>148.166</v>
      </c>
      <c r="F342" s="19">
        <v>4</v>
      </c>
      <c r="G342" s="19">
        <f t="shared" si="29"/>
        <v>592.664</v>
      </c>
      <c r="H342" s="605">
        <f>(G342+G343)*'Тарифные ставки'!$B$13</f>
        <v>2947.8925200000003</v>
      </c>
      <c r="I342" s="605">
        <f>H342*'Тарифные ставки'!$B$14*'Тарифные ставки'!$B$15</f>
        <v>3572.84573424</v>
      </c>
      <c r="J342" s="647">
        <f>I342-I342/'Тарифные ставки'!$B$15</f>
        <v>595.4742890399998</v>
      </c>
      <c r="K342" s="376">
        <v>2987.241840000001</v>
      </c>
      <c r="L342" s="376">
        <f t="shared" si="30"/>
        <v>19.6034979959975</v>
      </c>
      <c r="N342" s="358">
        <f t="shared" si="32"/>
        <v>0</v>
      </c>
    </row>
    <row r="343" spans="1:14" ht="15.75">
      <c r="A343" s="145"/>
      <c r="B343" s="614"/>
      <c r="C343" s="344"/>
      <c r="D343" s="439" t="s">
        <v>2312</v>
      </c>
      <c r="E343" s="34">
        <f>'Тарифные ставки'!$B$5</f>
        <v>137.4825</v>
      </c>
      <c r="F343" s="20">
        <v>4</v>
      </c>
      <c r="G343" s="20">
        <f t="shared" si="29"/>
        <v>549.93</v>
      </c>
      <c r="H343" s="606"/>
      <c r="I343" s="606">
        <f>H343*'Тарифные ставки'!$B$14*'Тарифные ставки'!$B$15</f>
        <v>0</v>
      </c>
      <c r="J343" s="648"/>
      <c r="N343" s="358"/>
    </row>
    <row r="344" spans="1:14" ht="15.75">
      <c r="A344" s="139" t="s">
        <v>2145</v>
      </c>
      <c r="B344" s="53" t="s">
        <v>956</v>
      </c>
      <c r="C344" s="346" t="s">
        <v>192</v>
      </c>
      <c r="D344" s="439" t="s">
        <v>2312</v>
      </c>
      <c r="E344" s="34">
        <f>'Тарифные ставки'!$B$5</f>
        <v>137.4825</v>
      </c>
      <c r="F344" s="54">
        <v>4.3</v>
      </c>
      <c r="G344" s="54">
        <f t="shared" si="29"/>
        <v>591.1747499999999</v>
      </c>
      <c r="H344" s="428">
        <f>G344*'Тарифные ставки'!$B$13</f>
        <v>1525.2308549999998</v>
      </c>
      <c r="I344" s="428">
        <f>H344*'Тарифные ставки'!$B$14*'Тарифные ставки'!$B$15</f>
        <v>1848.5797962599995</v>
      </c>
      <c r="J344" s="409">
        <f>I344-I344/'Тарифные ставки'!$B$15</f>
        <v>308.09663270999977</v>
      </c>
      <c r="K344" s="376">
        <v>1546.406334</v>
      </c>
      <c r="L344" s="376">
        <f t="shared" si="30"/>
        <v>19.540366307113132</v>
      </c>
      <c r="N344" s="358">
        <f t="shared" si="32"/>
        <v>0</v>
      </c>
    </row>
    <row r="345" spans="1:14" ht="15.75">
      <c r="A345" s="139" t="s">
        <v>2150</v>
      </c>
      <c r="B345" s="53" t="s">
        <v>818</v>
      </c>
      <c r="C345" s="346" t="s">
        <v>807</v>
      </c>
      <c r="D345" s="439" t="s">
        <v>2312</v>
      </c>
      <c r="E345" s="34">
        <f>'Тарифные ставки'!$B$5</f>
        <v>137.4825</v>
      </c>
      <c r="F345" s="54">
        <v>1</v>
      </c>
      <c r="G345" s="54">
        <f t="shared" si="29"/>
        <v>137.4825</v>
      </c>
      <c r="H345" s="428">
        <f>G345*'Тарифные ставки'!$B$13</f>
        <v>354.70484999999996</v>
      </c>
      <c r="I345" s="428">
        <f>H345*'Тарифные ставки'!$B$14*'Тарифные ставки'!$B$15</f>
        <v>429.90227819999996</v>
      </c>
      <c r="J345" s="409">
        <f>I345-I345/'Тарифные ставки'!$B$15</f>
        <v>71.65037969999997</v>
      </c>
      <c r="K345" s="376">
        <v>359.62938</v>
      </c>
      <c r="L345" s="376">
        <f t="shared" si="30"/>
        <v>19.54036630711316</v>
      </c>
      <c r="N345" s="358">
        <f t="shared" si="32"/>
        <v>0</v>
      </c>
    </row>
    <row r="346" spans="1:14" ht="15.75">
      <c r="A346" s="143" t="s">
        <v>2147</v>
      </c>
      <c r="B346" s="613" t="s">
        <v>819</v>
      </c>
      <c r="C346" s="342" t="s">
        <v>807</v>
      </c>
      <c r="D346" s="444" t="s">
        <v>2282</v>
      </c>
      <c r="E346" s="429">
        <f>'Тарифные ставки'!$B$6</f>
        <v>148.166</v>
      </c>
      <c r="F346" s="19">
        <v>1</v>
      </c>
      <c r="G346" s="19">
        <f t="shared" si="29"/>
        <v>148.166</v>
      </c>
      <c r="H346" s="605">
        <f>(G346+G347)*'Тарифные ставки'!$B$13</f>
        <v>736.9731300000001</v>
      </c>
      <c r="I346" s="605">
        <f>H346*'Тарифные ставки'!$B$14*'Тарифные ставки'!$B$15</f>
        <v>893.21143356</v>
      </c>
      <c r="J346" s="646">
        <f>I346-I346/'Тарифные ставки'!$B$15</f>
        <v>148.86857225999995</v>
      </c>
      <c r="K346" s="376">
        <v>746.8104600000003</v>
      </c>
      <c r="L346" s="376">
        <f t="shared" si="30"/>
        <v>19.6034979959975</v>
      </c>
      <c r="N346" s="358">
        <f t="shared" si="32"/>
        <v>0</v>
      </c>
    </row>
    <row r="347" spans="1:14" ht="15.75" hidden="1">
      <c r="A347" s="145"/>
      <c r="B347" s="614"/>
      <c r="C347" s="344"/>
      <c r="D347" s="448" t="s">
        <v>2312</v>
      </c>
      <c r="E347" s="34">
        <f>'Тарифные ставки'!$B$5</f>
        <v>137.4825</v>
      </c>
      <c r="F347" s="20">
        <v>1</v>
      </c>
      <c r="G347" s="20">
        <f t="shared" si="29"/>
        <v>137.4825</v>
      </c>
      <c r="H347" s="606"/>
      <c r="I347" s="606">
        <f>H347*'Тарифные ставки'!$B$14*'Тарифные ставки'!$B$15</f>
        <v>0</v>
      </c>
      <c r="J347" s="646"/>
      <c r="N347" s="358"/>
    </row>
    <row r="348" spans="1:14" ht="63" hidden="1">
      <c r="A348" s="328" t="s">
        <v>83</v>
      </c>
      <c r="B348" s="313" t="s">
        <v>82</v>
      </c>
      <c r="C348" s="313" t="s">
        <v>77</v>
      </c>
      <c r="D348" s="313" t="s">
        <v>81</v>
      </c>
      <c r="E348" s="314" t="s">
        <v>85</v>
      </c>
      <c r="F348" s="314" t="s">
        <v>78</v>
      </c>
      <c r="G348" s="314" t="s">
        <v>79</v>
      </c>
      <c r="H348" s="393" t="s">
        <v>80</v>
      </c>
      <c r="I348" s="411" t="s">
        <v>843</v>
      </c>
      <c r="J348" s="411" t="s">
        <v>2349</v>
      </c>
      <c r="N348" s="358"/>
    </row>
    <row r="349" spans="1:14" ht="15.75">
      <c r="A349" s="139" t="s">
        <v>945</v>
      </c>
      <c r="B349" s="53" t="s">
        <v>957</v>
      </c>
      <c r="C349" s="346" t="s">
        <v>807</v>
      </c>
      <c r="D349" s="439" t="s">
        <v>2312</v>
      </c>
      <c r="E349" s="34">
        <f>'Тарифные ставки'!$B$5</f>
        <v>137.4825</v>
      </c>
      <c r="F349" s="54">
        <v>0.96</v>
      </c>
      <c r="G349" s="54">
        <f t="shared" si="29"/>
        <v>131.98319999999998</v>
      </c>
      <c r="H349" s="428">
        <f>G349*'Тарифные ставки'!$B$13</f>
        <v>340.51665599999995</v>
      </c>
      <c r="I349" s="428">
        <f>H349*'Тарифные ставки'!$B$14*'Тарифные ставки'!$B$15</f>
        <v>412.7061870719999</v>
      </c>
      <c r="J349" s="409">
        <f>I349-I349/'Тарифные ставки'!$B$15</f>
        <v>68.78436451199997</v>
      </c>
      <c r="K349" s="376">
        <v>345.2442048000001</v>
      </c>
      <c r="L349" s="392">
        <f t="shared" si="30"/>
        <v>19.540366307113118</v>
      </c>
      <c r="M349" s="3">
        <v>428</v>
      </c>
      <c r="N349" s="358">
        <f t="shared" si="32"/>
        <v>103.70573870881465</v>
      </c>
    </row>
    <row r="350" spans="1:14" ht="15.75">
      <c r="A350" s="139" t="s">
        <v>2148</v>
      </c>
      <c r="B350" s="53" t="s">
        <v>958</v>
      </c>
      <c r="C350" s="346" t="s">
        <v>814</v>
      </c>
      <c r="D350" s="439" t="s">
        <v>2312</v>
      </c>
      <c r="E350" s="34">
        <f>'Тарифные ставки'!$B$5</f>
        <v>137.4825</v>
      </c>
      <c r="F350" s="54">
        <v>1.2</v>
      </c>
      <c r="G350" s="54">
        <f t="shared" si="29"/>
        <v>164.97899999999998</v>
      </c>
      <c r="H350" s="428">
        <f>G350*'Тарифные ставки'!$B$13</f>
        <v>425.64581999999996</v>
      </c>
      <c r="I350" s="428">
        <f>H350*'Тарифные ставки'!$B$14*'Тарифные ставки'!$B$15</f>
        <v>515.8827338399999</v>
      </c>
      <c r="J350" s="409">
        <f>I350-I350/'Тарифные ставки'!$B$15</f>
        <v>85.98045563999995</v>
      </c>
      <c r="K350" s="376">
        <v>431.5552560000001</v>
      </c>
      <c r="L350" s="376">
        <f t="shared" si="30"/>
        <v>19.540366307113132</v>
      </c>
      <c r="M350" s="3">
        <v>535</v>
      </c>
      <c r="N350" s="358">
        <f t="shared" si="32"/>
        <v>103.70573870881465</v>
      </c>
    </row>
    <row r="351" spans="1:14" ht="15.75">
      <c r="A351" s="139" t="s">
        <v>2149</v>
      </c>
      <c r="B351" s="53" t="s">
        <v>959</v>
      </c>
      <c r="C351" s="346" t="s">
        <v>811</v>
      </c>
      <c r="D351" s="439" t="s">
        <v>2312</v>
      </c>
      <c r="E351" s="34">
        <f>'Тарифные ставки'!$B$5</f>
        <v>137.4825</v>
      </c>
      <c r="F351" s="54">
        <v>1</v>
      </c>
      <c r="G351" s="54">
        <f t="shared" si="29"/>
        <v>137.4825</v>
      </c>
      <c r="H351" s="428">
        <f>G351*'Тарифные ставки'!$B$13</f>
        <v>354.70484999999996</v>
      </c>
      <c r="I351" s="428">
        <f>H351*'Тарифные ставки'!$B$14*'Тарифные ставки'!$B$15</f>
        <v>429.90227819999996</v>
      </c>
      <c r="J351" s="409">
        <f>I351-I351/'Тарифные ставки'!$B$15</f>
        <v>71.65037969999997</v>
      </c>
      <c r="K351" s="376">
        <v>359.62938</v>
      </c>
      <c r="L351" s="376">
        <f t="shared" si="30"/>
        <v>19.54036630711316</v>
      </c>
      <c r="M351" s="3">
        <v>445</v>
      </c>
      <c r="N351" s="358">
        <f t="shared" si="32"/>
        <v>103.51189620655516</v>
      </c>
    </row>
    <row r="352" spans="1:14" ht="15.75">
      <c r="A352" s="139" t="s">
        <v>946</v>
      </c>
      <c r="B352" s="53" t="s">
        <v>960</v>
      </c>
      <c r="C352" s="346" t="s">
        <v>810</v>
      </c>
      <c r="D352" s="439" t="s">
        <v>2312</v>
      </c>
      <c r="E352" s="34">
        <f>'Тарифные ставки'!$B$5</f>
        <v>137.4825</v>
      </c>
      <c r="F352" s="54">
        <v>2.8</v>
      </c>
      <c r="G352" s="54">
        <f t="shared" si="29"/>
        <v>384.95099999999996</v>
      </c>
      <c r="H352" s="428">
        <f>G352*'Тарифные ставки'!$B$13</f>
        <v>993.1735799999999</v>
      </c>
      <c r="I352" s="428">
        <f>H352*'Тарифные ставки'!$B$14*'Тарифные ставки'!$B$15</f>
        <v>1203.7263789599997</v>
      </c>
      <c r="J352" s="409">
        <f>I352-I352/'Тарифные ставки'!$B$15</f>
        <v>200.62106315999995</v>
      </c>
      <c r="K352" s="376">
        <v>1006.962264</v>
      </c>
      <c r="L352" s="376">
        <f t="shared" si="30"/>
        <v>19.540366307113132</v>
      </c>
      <c r="M352" s="3">
        <v>1246</v>
      </c>
      <c r="N352" s="358">
        <f t="shared" si="32"/>
        <v>103.51189620655519</v>
      </c>
    </row>
    <row r="353" spans="1:14" ht="15.75">
      <c r="A353" s="139" t="s">
        <v>947</v>
      </c>
      <c r="B353" s="53" t="s">
        <v>961</v>
      </c>
      <c r="C353" s="346" t="s">
        <v>76</v>
      </c>
      <c r="D353" s="439" t="s">
        <v>2312</v>
      </c>
      <c r="E353" s="34">
        <f>'Тарифные ставки'!$B$5</f>
        <v>137.4825</v>
      </c>
      <c r="F353" s="54">
        <v>1</v>
      </c>
      <c r="G353" s="54">
        <f t="shared" si="29"/>
        <v>137.4825</v>
      </c>
      <c r="H353" s="428">
        <f>G353*'Тарифные ставки'!$B$13</f>
        <v>354.70484999999996</v>
      </c>
      <c r="I353" s="428">
        <f>H353*'Тарифные ставки'!$B$14*'Тарифные ставки'!$B$15</f>
        <v>429.90227819999996</v>
      </c>
      <c r="J353" s="409">
        <f>I353-I353/'Тарифные ставки'!$B$15</f>
        <v>71.65037969999997</v>
      </c>
      <c r="K353" s="376">
        <v>359.62938</v>
      </c>
      <c r="L353" s="376">
        <f t="shared" si="30"/>
        <v>19.54036630711316</v>
      </c>
      <c r="M353" s="3">
        <v>445</v>
      </c>
      <c r="N353" s="358">
        <f t="shared" si="32"/>
        <v>103.51189620655516</v>
      </c>
    </row>
    <row r="354" spans="1:14" ht="15.75">
      <c r="A354" s="139" t="s">
        <v>948</v>
      </c>
      <c r="B354" s="53" t="s">
        <v>820</v>
      </c>
      <c r="C354" s="346" t="s">
        <v>76</v>
      </c>
      <c r="D354" s="439" t="s">
        <v>2312</v>
      </c>
      <c r="E354" s="34">
        <f>'Тарифные ставки'!$B$5</f>
        <v>137.4825</v>
      </c>
      <c r="F354" s="54">
        <v>1.44</v>
      </c>
      <c r="G354" s="54">
        <f t="shared" si="29"/>
        <v>197.9748</v>
      </c>
      <c r="H354" s="428">
        <f>G354*'Тарифные ставки'!$B$13</f>
        <v>510.77498399999996</v>
      </c>
      <c r="I354" s="428">
        <f>H354*'Тарифные ставки'!$B$14*'Тарифные ставки'!$B$15</f>
        <v>619.059280608</v>
      </c>
      <c r="J354" s="409">
        <f>I354-I354/'Тарифные ставки'!$B$15</f>
        <v>103.17654676799998</v>
      </c>
      <c r="K354" s="376">
        <v>517.8663071999999</v>
      </c>
      <c r="L354" s="376">
        <f t="shared" si="30"/>
        <v>19.540366307113175</v>
      </c>
      <c r="M354" s="3">
        <v>640</v>
      </c>
      <c r="N354" s="358">
        <f t="shared" si="32"/>
        <v>103.38266787171551</v>
      </c>
    </row>
    <row r="355" spans="1:14" ht="20.25" customHeight="1">
      <c r="A355" s="144" t="s">
        <v>949</v>
      </c>
      <c r="B355" s="613" t="s">
        <v>486</v>
      </c>
      <c r="C355" s="343" t="s">
        <v>487</v>
      </c>
      <c r="D355" s="444" t="s">
        <v>2282</v>
      </c>
      <c r="E355" s="429">
        <f>'Тарифные ставки'!$B$6</f>
        <v>148.166</v>
      </c>
      <c r="F355" s="54">
        <v>1.08</v>
      </c>
      <c r="G355" s="54">
        <f t="shared" si="29"/>
        <v>160.01928</v>
      </c>
      <c r="H355" s="605">
        <f>(G355+G356)*'Тарифные ставки'!$B$13</f>
        <v>412.8497424</v>
      </c>
      <c r="I355" s="607">
        <f>H355*'Тарифные ставки'!$B$14*'Тарифные ставки'!$B$15</f>
        <v>500.3738877888</v>
      </c>
      <c r="J355" s="646">
        <f>I355-I355/'Тарифные ставки'!$B$15</f>
        <v>83.39564796479999</v>
      </c>
      <c r="K355" s="376">
        <v>418.1555664000001</v>
      </c>
      <c r="L355" s="376">
        <f t="shared" si="30"/>
        <v>19.662137251128044</v>
      </c>
      <c r="M355" s="3">
        <v>1083</v>
      </c>
      <c r="N355" s="358">
        <f t="shared" si="32"/>
        <v>216.43815283524896</v>
      </c>
    </row>
    <row r="356" spans="1:14" ht="15.75" hidden="1">
      <c r="A356" s="145"/>
      <c r="B356" s="614"/>
      <c r="C356" s="344"/>
      <c r="D356" s="446" t="s">
        <v>2312</v>
      </c>
      <c r="E356" s="34">
        <f>'Тарифные ставки'!$B$5</f>
        <v>137.4825</v>
      </c>
      <c r="F356" s="20">
        <v>1.08</v>
      </c>
      <c r="G356" s="54"/>
      <c r="H356" s="606"/>
      <c r="I356" s="607">
        <f>H356*'Тарифные ставки'!$B$14*'Тарифные ставки'!$B$15</f>
        <v>0</v>
      </c>
      <c r="J356" s="646"/>
      <c r="N356" s="358"/>
    </row>
    <row r="357" spans="1:14" ht="47.25">
      <c r="A357" s="139" t="s">
        <v>950</v>
      </c>
      <c r="B357" s="53" t="s">
        <v>2434</v>
      </c>
      <c r="C357" s="347" t="s">
        <v>75</v>
      </c>
      <c r="D357" s="449" t="s">
        <v>2315</v>
      </c>
      <c r="E357" s="54">
        <f>'Тарифные ставки'!$B$9</f>
        <v>184.069</v>
      </c>
      <c r="F357" s="54">
        <v>1</v>
      </c>
      <c r="G357" s="54">
        <f>E357*F357</f>
        <v>184.069</v>
      </c>
      <c r="H357" s="428">
        <f>G357*'Тарифные ставки'!$B$13</f>
        <v>474.89802</v>
      </c>
      <c r="I357" s="428">
        <f>H357*'Тарифные ставки'!$B$14*'Тарифные ставки'!$B$15</f>
        <v>575.57640024</v>
      </c>
      <c r="J357" s="409">
        <f>I357-I357/'Тарифные ставки'!$B$15</f>
        <v>95.92940003999996</v>
      </c>
      <c r="K357" s="376">
        <v>488.5075800000001</v>
      </c>
      <c r="L357" s="376">
        <f t="shared" si="30"/>
        <v>17.823432799138942</v>
      </c>
      <c r="M357" s="3">
        <v>928</v>
      </c>
      <c r="N357" s="358">
        <f t="shared" si="32"/>
        <v>161.2296820392651</v>
      </c>
    </row>
    <row r="358" spans="1:14" ht="31.5">
      <c r="A358" s="139" t="s">
        <v>951</v>
      </c>
      <c r="B358" s="53" t="s">
        <v>488</v>
      </c>
      <c r="C358" s="347" t="s">
        <v>76</v>
      </c>
      <c r="D358" s="449" t="s">
        <v>2315</v>
      </c>
      <c r="E358" s="54">
        <f>'Тарифные ставки'!$B$9</f>
        <v>184.069</v>
      </c>
      <c r="F358" s="54">
        <v>1.5</v>
      </c>
      <c r="G358" s="54">
        <f t="shared" si="29"/>
        <v>276.1035</v>
      </c>
      <c r="H358" s="428">
        <f>G358*'Тарифные ставки'!$B$13</f>
        <v>712.34703</v>
      </c>
      <c r="I358" s="428">
        <f>H358*'Тарифные ставки'!$B$14*'Тарифные ставки'!$B$15</f>
        <v>863.36460036</v>
      </c>
      <c r="J358" s="409">
        <f>I358-I358/'Тарифные ставки'!$B$15</f>
        <v>143.89410006000003</v>
      </c>
      <c r="K358" s="376">
        <v>732.76137</v>
      </c>
      <c r="L358" s="376">
        <f t="shared" si="30"/>
        <v>17.823432799138956</v>
      </c>
      <c r="M358" s="3">
        <v>1218</v>
      </c>
      <c r="N358" s="358">
        <f t="shared" si="32"/>
        <v>141.07597178435697</v>
      </c>
    </row>
    <row r="359" ht="15.75">
      <c r="H359" s="392"/>
    </row>
  </sheetData>
  <sheetProtection/>
  <mergeCells count="384">
    <mergeCell ref="J346:J347"/>
    <mergeCell ref="J340:J341"/>
    <mergeCell ref="J342:J343"/>
    <mergeCell ref="J355:J356"/>
    <mergeCell ref="J305:J306"/>
    <mergeCell ref="J307:J308"/>
    <mergeCell ref="J309:J310"/>
    <mergeCell ref="J311:J312"/>
    <mergeCell ref="A1:J1"/>
    <mergeCell ref="A3:J3"/>
    <mergeCell ref="J33:J35"/>
    <mergeCell ref="J36:J38"/>
    <mergeCell ref="J290:J291"/>
    <mergeCell ref="J286:J287"/>
    <mergeCell ref="J288:J289"/>
    <mergeCell ref="J259:J260"/>
    <mergeCell ref="J267:J268"/>
    <mergeCell ref="J250:J251"/>
    <mergeCell ref="J253:J254"/>
    <mergeCell ref="J255:J256"/>
    <mergeCell ref="J257:J258"/>
    <mergeCell ref="J244:J245"/>
    <mergeCell ref="J246:J247"/>
    <mergeCell ref="J248:J249"/>
    <mergeCell ref="J230:J231"/>
    <mergeCell ref="J238:J239"/>
    <mergeCell ref="J240:J241"/>
    <mergeCell ref="J223:J224"/>
    <mergeCell ref="J226:J227"/>
    <mergeCell ref="J228:J229"/>
    <mergeCell ref="J217:J218"/>
    <mergeCell ref="J219:J220"/>
    <mergeCell ref="J221:J222"/>
    <mergeCell ref="J210:J211"/>
    <mergeCell ref="J213:J214"/>
    <mergeCell ref="J215:J216"/>
    <mergeCell ref="J190:J191"/>
    <mergeCell ref="J206:J207"/>
    <mergeCell ref="J208:J209"/>
    <mergeCell ref="J182:J183"/>
    <mergeCell ref="J184:J185"/>
    <mergeCell ref="J188:J189"/>
    <mergeCell ref="J174:J175"/>
    <mergeCell ref="J177:J178"/>
    <mergeCell ref="J180:J181"/>
    <mergeCell ref="J167:J168"/>
    <mergeCell ref="J169:J170"/>
    <mergeCell ref="J172:J173"/>
    <mergeCell ref="J161:J162"/>
    <mergeCell ref="J163:J164"/>
    <mergeCell ref="J165:J166"/>
    <mergeCell ref="J148:J149"/>
    <mergeCell ref="J150:J151"/>
    <mergeCell ref="J152:J153"/>
    <mergeCell ref="J142:J143"/>
    <mergeCell ref="J144:J145"/>
    <mergeCell ref="J146:J147"/>
    <mergeCell ref="J140:J141"/>
    <mergeCell ref="J129:J130"/>
    <mergeCell ref="J131:J132"/>
    <mergeCell ref="J133:J134"/>
    <mergeCell ref="J135:J136"/>
    <mergeCell ref="J137:J138"/>
    <mergeCell ref="A123:J123"/>
    <mergeCell ref="A125:I125"/>
    <mergeCell ref="J85:J87"/>
    <mergeCell ref="J88:J90"/>
    <mergeCell ref="I98:I100"/>
    <mergeCell ref="I85:I87"/>
    <mergeCell ref="I101:I103"/>
    <mergeCell ref="I104:I106"/>
    <mergeCell ref="B108:B109"/>
    <mergeCell ref="B111:B112"/>
    <mergeCell ref="J50:J52"/>
    <mergeCell ref="J108:J110"/>
    <mergeCell ref="J111:J113"/>
    <mergeCell ref="J98:J100"/>
    <mergeCell ref="J101:J103"/>
    <mergeCell ref="J72:J74"/>
    <mergeCell ref="J77:J79"/>
    <mergeCell ref="J80:J82"/>
    <mergeCell ref="J104:J106"/>
    <mergeCell ref="J54:J56"/>
    <mergeCell ref="H267:H268"/>
    <mergeCell ref="I24:I26"/>
    <mergeCell ref="J24:J26"/>
    <mergeCell ref="H21:H23"/>
    <mergeCell ref="I21:I23"/>
    <mergeCell ref="J69:J71"/>
    <mergeCell ref="J66:J68"/>
    <mergeCell ref="J60:J62"/>
    <mergeCell ref="J27:J29"/>
    <mergeCell ref="J30:J32"/>
    <mergeCell ref="B267:B268"/>
    <mergeCell ref="J21:J23"/>
    <mergeCell ref="J7:J9"/>
    <mergeCell ref="J13:J15"/>
    <mergeCell ref="J18:J20"/>
    <mergeCell ref="J10:J12"/>
    <mergeCell ref="I267:I268"/>
    <mergeCell ref="J44:J46"/>
    <mergeCell ref="J63:J65"/>
    <mergeCell ref="J57:J59"/>
    <mergeCell ref="B257:B258"/>
    <mergeCell ref="B259:B260"/>
    <mergeCell ref="H257:H258"/>
    <mergeCell ref="I257:I258"/>
    <mergeCell ref="H259:H260"/>
    <mergeCell ref="I259:I260"/>
    <mergeCell ref="H250:H251"/>
    <mergeCell ref="I250:I251"/>
    <mergeCell ref="B253:B254"/>
    <mergeCell ref="H253:H254"/>
    <mergeCell ref="I253:I254"/>
    <mergeCell ref="B255:B256"/>
    <mergeCell ref="H255:H256"/>
    <mergeCell ref="I255:I256"/>
    <mergeCell ref="H244:H245"/>
    <mergeCell ref="I244:I245"/>
    <mergeCell ref="H246:H247"/>
    <mergeCell ref="I246:I247"/>
    <mergeCell ref="H248:H249"/>
    <mergeCell ref="I248:I249"/>
    <mergeCell ref="I228:I229"/>
    <mergeCell ref="I230:I231"/>
    <mergeCell ref="H238:H239"/>
    <mergeCell ref="I238:I239"/>
    <mergeCell ref="H240:H241"/>
    <mergeCell ref="I240:I241"/>
    <mergeCell ref="I221:I222"/>
    <mergeCell ref="H223:H224"/>
    <mergeCell ref="I223:I224"/>
    <mergeCell ref="B226:B227"/>
    <mergeCell ref="B228:B229"/>
    <mergeCell ref="B230:B231"/>
    <mergeCell ref="H226:H227"/>
    <mergeCell ref="H230:H231"/>
    <mergeCell ref="I226:I227"/>
    <mergeCell ref="H228:H229"/>
    <mergeCell ref="I213:I214"/>
    <mergeCell ref="H215:H216"/>
    <mergeCell ref="I215:I216"/>
    <mergeCell ref="I217:I218"/>
    <mergeCell ref="H219:H220"/>
    <mergeCell ref="I219:I220"/>
    <mergeCell ref="H217:H218"/>
    <mergeCell ref="B221:B222"/>
    <mergeCell ref="B223:B224"/>
    <mergeCell ref="H213:H214"/>
    <mergeCell ref="B206:B207"/>
    <mergeCell ref="H206:H207"/>
    <mergeCell ref="H221:H222"/>
    <mergeCell ref="B213:B214"/>
    <mergeCell ref="B215:B216"/>
    <mergeCell ref="B217:B218"/>
    <mergeCell ref="B219:B220"/>
    <mergeCell ref="I206:I207"/>
    <mergeCell ref="I210:I211"/>
    <mergeCell ref="B208:B209"/>
    <mergeCell ref="H208:H209"/>
    <mergeCell ref="I208:I209"/>
    <mergeCell ref="B210:B211"/>
    <mergeCell ref="H210:H211"/>
    <mergeCell ref="B184:B185"/>
    <mergeCell ref="H184:H185"/>
    <mergeCell ref="I184:I185"/>
    <mergeCell ref="B188:B189"/>
    <mergeCell ref="B190:B191"/>
    <mergeCell ref="H188:H189"/>
    <mergeCell ref="I188:I189"/>
    <mergeCell ref="H190:H191"/>
    <mergeCell ref="I190:I191"/>
    <mergeCell ref="B169:B170"/>
    <mergeCell ref="B177:B178"/>
    <mergeCell ref="H177:H178"/>
    <mergeCell ref="I177:I178"/>
    <mergeCell ref="B180:B181"/>
    <mergeCell ref="B182:B183"/>
    <mergeCell ref="H180:H181"/>
    <mergeCell ref="I180:I181"/>
    <mergeCell ref="H182:H183"/>
    <mergeCell ref="I182:I183"/>
    <mergeCell ref="B172:B173"/>
    <mergeCell ref="B174:B175"/>
    <mergeCell ref="H172:H173"/>
    <mergeCell ref="I172:I173"/>
    <mergeCell ref="H174:H175"/>
    <mergeCell ref="I174:I175"/>
    <mergeCell ref="H169:H170"/>
    <mergeCell ref="I161:I162"/>
    <mergeCell ref="H163:H164"/>
    <mergeCell ref="I163:I164"/>
    <mergeCell ref="H165:H166"/>
    <mergeCell ref="I165:I166"/>
    <mergeCell ref="I167:I168"/>
    <mergeCell ref="I169:I170"/>
    <mergeCell ref="H148:H149"/>
    <mergeCell ref="I148:I149"/>
    <mergeCell ref="B161:B162"/>
    <mergeCell ref="B163:B164"/>
    <mergeCell ref="B165:B166"/>
    <mergeCell ref="B167:B168"/>
    <mergeCell ref="H161:H162"/>
    <mergeCell ref="H167:H168"/>
    <mergeCell ref="B142:B143"/>
    <mergeCell ref="B137:B138"/>
    <mergeCell ref="H140:H141"/>
    <mergeCell ref="H150:H151"/>
    <mergeCell ref="I150:I151"/>
    <mergeCell ref="B152:B153"/>
    <mergeCell ref="H152:H153"/>
    <mergeCell ref="I152:I153"/>
    <mergeCell ref="B148:B149"/>
    <mergeCell ref="B150:B151"/>
    <mergeCell ref="I142:I143"/>
    <mergeCell ref="I144:I145"/>
    <mergeCell ref="H146:H147"/>
    <mergeCell ref="I146:I147"/>
    <mergeCell ref="B133:B134"/>
    <mergeCell ref="H135:H136"/>
    <mergeCell ref="B144:B145"/>
    <mergeCell ref="B146:B147"/>
    <mergeCell ref="H144:H145"/>
    <mergeCell ref="H142:H143"/>
    <mergeCell ref="B140:B141"/>
    <mergeCell ref="I135:I136"/>
    <mergeCell ref="H137:H138"/>
    <mergeCell ref="I137:I138"/>
    <mergeCell ref="B135:B136"/>
    <mergeCell ref="I140:I141"/>
    <mergeCell ref="I131:I132"/>
    <mergeCell ref="I133:I134"/>
    <mergeCell ref="H133:H134"/>
    <mergeCell ref="B129:B130"/>
    <mergeCell ref="B131:B132"/>
    <mergeCell ref="I108:I110"/>
    <mergeCell ref="H129:H130"/>
    <mergeCell ref="H131:H132"/>
    <mergeCell ref="I129:I130"/>
    <mergeCell ref="I111:I113"/>
    <mergeCell ref="H108:H110"/>
    <mergeCell ref="H111:H113"/>
    <mergeCell ref="B98:B99"/>
    <mergeCell ref="B101:B102"/>
    <mergeCell ref="B104:B105"/>
    <mergeCell ref="H98:H100"/>
    <mergeCell ref="H104:H106"/>
    <mergeCell ref="H101:H103"/>
    <mergeCell ref="B92:B93"/>
    <mergeCell ref="B95:B96"/>
    <mergeCell ref="J92:J94"/>
    <mergeCell ref="H92:H94"/>
    <mergeCell ref="I92:I94"/>
    <mergeCell ref="J95:J97"/>
    <mergeCell ref="H95:H97"/>
    <mergeCell ref="I95:I97"/>
    <mergeCell ref="I88:I90"/>
    <mergeCell ref="H63:H65"/>
    <mergeCell ref="H66:H68"/>
    <mergeCell ref="I63:I65"/>
    <mergeCell ref="B88:B89"/>
    <mergeCell ref="H85:H87"/>
    <mergeCell ref="H88:H90"/>
    <mergeCell ref="B85:B86"/>
    <mergeCell ref="I69:I71"/>
    <mergeCell ref="B72:B73"/>
    <mergeCell ref="I72:I74"/>
    <mergeCell ref="I77:I79"/>
    <mergeCell ref="I80:I82"/>
    <mergeCell ref="H72:H74"/>
    <mergeCell ref="B63:B64"/>
    <mergeCell ref="B66:B67"/>
    <mergeCell ref="I66:I68"/>
    <mergeCell ref="B77:B78"/>
    <mergeCell ref="B80:B81"/>
    <mergeCell ref="H77:H79"/>
    <mergeCell ref="H80:H82"/>
    <mergeCell ref="I47:I49"/>
    <mergeCell ref="H60:H62"/>
    <mergeCell ref="B69:B70"/>
    <mergeCell ref="I57:I59"/>
    <mergeCell ref="I60:I62"/>
    <mergeCell ref="B47:B48"/>
    <mergeCell ref="H69:H71"/>
    <mergeCell ref="H57:H59"/>
    <mergeCell ref="B57:B58"/>
    <mergeCell ref="B60:B61"/>
    <mergeCell ref="J47:J49"/>
    <mergeCell ref="H54:H56"/>
    <mergeCell ref="H44:H46"/>
    <mergeCell ref="I36:I38"/>
    <mergeCell ref="H30:H32"/>
    <mergeCell ref="I50:I52"/>
    <mergeCell ref="I33:I35"/>
    <mergeCell ref="I54:I56"/>
    <mergeCell ref="H41:H43"/>
    <mergeCell ref="I41:I43"/>
    <mergeCell ref="H36:H38"/>
    <mergeCell ref="B33:B34"/>
    <mergeCell ref="B36:B37"/>
    <mergeCell ref="B41:B42"/>
    <mergeCell ref="B44:B45"/>
    <mergeCell ref="H33:H35"/>
    <mergeCell ref="I44:I46"/>
    <mergeCell ref="J41:J43"/>
    <mergeCell ref="I7:I9"/>
    <mergeCell ref="H18:H20"/>
    <mergeCell ref="I18:I20"/>
    <mergeCell ref="I13:I15"/>
    <mergeCell ref="B7:B8"/>
    <mergeCell ref="B10:B11"/>
    <mergeCell ref="B13:B14"/>
    <mergeCell ref="H7:H9"/>
    <mergeCell ref="H13:H15"/>
    <mergeCell ref="B18:B19"/>
    <mergeCell ref="H10:H12"/>
    <mergeCell ref="B286:B287"/>
    <mergeCell ref="C286:C287"/>
    <mergeCell ref="H286:H287"/>
    <mergeCell ref="B21:B22"/>
    <mergeCell ref="B24:B25"/>
    <mergeCell ref="B54:B55"/>
    <mergeCell ref="H24:H26"/>
    <mergeCell ref="B50:B52"/>
    <mergeCell ref="H47:H49"/>
    <mergeCell ref="B320:B321"/>
    <mergeCell ref="B309:B310"/>
    <mergeCell ref="B307:B308"/>
    <mergeCell ref="I288:I289"/>
    <mergeCell ref="B288:B289"/>
    <mergeCell ref="C288:C289"/>
    <mergeCell ref="H290:H291"/>
    <mergeCell ref="I290:I291"/>
    <mergeCell ref="A301:I301"/>
    <mergeCell ref="H318:H319"/>
    <mergeCell ref="I27:I29"/>
    <mergeCell ref="B342:B343"/>
    <mergeCell ref="B346:B347"/>
    <mergeCell ref="B323:B324"/>
    <mergeCell ref="B331:B332"/>
    <mergeCell ref="B337:B338"/>
    <mergeCell ref="B340:B341"/>
    <mergeCell ref="B333:B335"/>
    <mergeCell ref="B305:B306"/>
    <mergeCell ref="B318:B319"/>
    <mergeCell ref="B355:B356"/>
    <mergeCell ref="A50:A52"/>
    <mergeCell ref="C50:C52"/>
    <mergeCell ref="H50:H52"/>
    <mergeCell ref="I10:I12"/>
    <mergeCell ref="B27:B28"/>
    <mergeCell ref="B30:B31"/>
    <mergeCell ref="I30:I32"/>
    <mergeCell ref="H27:H29"/>
    <mergeCell ref="I311:I312"/>
    <mergeCell ref="H262:H263"/>
    <mergeCell ref="I262:I263"/>
    <mergeCell ref="H264:H265"/>
    <mergeCell ref="I264:I265"/>
    <mergeCell ref="H305:H306"/>
    <mergeCell ref="I305:I306"/>
    <mergeCell ref="I286:I287"/>
    <mergeCell ref="H288:H289"/>
    <mergeCell ref="A278:I278"/>
    <mergeCell ref="B264:B265"/>
    <mergeCell ref="I318:I319"/>
    <mergeCell ref="H320:H321"/>
    <mergeCell ref="I320:I321"/>
    <mergeCell ref="H323:H324"/>
    <mergeCell ref="H307:H308"/>
    <mergeCell ref="I307:I308"/>
    <mergeCell ref="H309:H310"/>
    <mergeCell ref="I309:I310"/>
    <mergeCell ref="H311:H312"/>
    <mergeCell ref="H346:H347"/>
    <mergeCell ref="I346:I347"/>
    <mergeCell ref="H355:H356"/>
    <mergeCell ref="I355:I356"/>
    <mergeCell ref="H337:H338"/>
    <mergeCell ref="I337:I338"/>
    <mergeCell ref="H340:H341"/>
    <mergeCell ref="I340:I341"/>
    <mergeCell ref="H342:H343"/>
    <mergeCell ref="I342:I34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  <rowBreaks count="3" manualBreakCount="3">
    <brk id="123" max="9" man="1"/>
    <brk id="241" max="9" man="1"/>
    <brk id="30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4"/>
  <sheetViews>
    <sheetView view="pageBreakPreview" zoomScale="110" zoomScaleSheetLayoutView="110" zoomScalePageLayoutView="0"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4" sqref="B74"/>
    </sheetView>
  </sheetViews>
  <sheetFormatPr defaultColWidth="9.00390625" defaultRowHeight="12.75"/>
  <cols>
    <col min="1" max="1" width="8.25390625" style="3" customWidth="1"/>
    <col min="2" max="2" width="80.75390625" style="3" customWidth="1"/>
    <col min="3" max="3" width="11.625" style="3" customWidth="1"/>
    <col min="4" max="4" width="13.75390625" style="3" hidden="1" customWidth="1"/>
    <col min="5" max="5" width="11.75390625" style="3" hidden="1" customWidth="1"/>
    <col min="6" max="6" width="13.875" style="3" hidden="1" customWidth="1"/>
    <col min="7" max="8" width="14.00390625" style="3" hidden="1" customWidth="1"/>
    <col min="9" max="9" width="14.125" style="3" customWidth="1"/>
    <col min="10" max="10" width="12.875" style="3" customWidth="1"/>
    <col min="11" max="11" width="13.125" style="3" hidden="1" customWidth="1"/>
    <col min="12" max="12" width="10.00390625" style="3" hidden="1" customWidth="1"/>
    <col min="13" max="13" width="14.125" style="3" hidden="1" customWidth="1"/>
    <col min="14" max="14" width="13.125" style="3" hidden="1" customWidth="1"/>
    <col min="15" max="16" width="0" style="3" hidden="1" customWidth="1"/>
    <col min="17" max="16384" width="9.125" style="3" customWidth="1"/>
  </cols>
  <sheetData>
    <row r="1" spans="1:10" s="2" customFormat="1" ht="15.75">
      <c r="A1" s="604" t="s">
        <v>428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s="2" customFormat="1" ht="15.75">
      <c r="A2" s="604" t="s">
        <v>286</v>
      </c>
      <c r="B2" s="604"/>
      <c r="C2" s="604"/>
      <c r="D2" s="604"/>
      <c r="E2" s="604"/>
      <c r="F2" s="604"/>
      <c r="G2" s="604"/>
      <c r="H2" s="604"/>
      <c r="I2" s="604"/>
      <c r="J2" s="604"/>
    </row>
    <row r="4" spans="1:13" ht="63">
      <c r="A4" s="459" t="s">
        <v>83</v>
      </c>
      <c r="B4" s="371" t="s">
        <v>82</v>
      </c>
      <c r="C4" s="371" t="s">
        <v>77</v>
      </c>
      <c r="D4" s="371" t="s">
        <v>81</v>
      </c>
      <c r="E4" s="372" t="s">
        <v>85</v>
      </c>
      <c r="F4" s="372" t="s">
        <v>78</v>
      </c>
      <c r="G4" s="372" t="s">
        <v>79</v>
      </c>
      <c r="H4" s="372" t="s">
        <v>80</v>
      </c>
      <c r="I4" s="371" t="s">
        <v>843</v>
      </c>
      <c r="J4" s="371" t="s">
        <v>2349</v>
      </c>
      <c r="K4" s="387" t="s">
        <v>2386</v>
      </c>
      <c r="L4" s="388" t="s">
        <v>2385</v>
      </c>
      <c r="M4" s="3" t="s">
        <v>2370</v>
      </c>
    </row>
    <row r="5" spans="1:14" ht="15.75">
      <c r="A5" s="60" t="s">
        <v>287</v>
      </c>
      <c r="B5" s="39" t="s">
        <v>489</v>
      </c>
      <c r="C5" s="301" t="s">
        <v>75</v>
      </c>
      <c r="D5" s="296" t="s">
        <v>275</v>
      </c>
      <c r="E5" s="398">
        <f>'Тарифные ставки'!$B$9</f>
        <v>184.069</v>
      </c>
      <c r="F5" s="398">
        <v>4</v>
      </c>
      <c r="G5" s="398">
        <f aca="true" t="shared" si="0" ref="G5:G63">E5*F5</f>
        <v>736.276</v>
      </c>
      <c r="H5" s="401">
        <f>G5*'Тарифные ставки'!$B$13</f>
        <v>1899.59208</v>
      </c>
      <c r="I5" s="401">
        <f>H5*'Тарифные ставки'!$B$14*'Тарифные ставки'!$B$15</f>
        <v>2302.30560096</v>
      </c>
      <c r="J5" s="401">
        <f>I5-I5/'Тарифные ставки'!$B$15</f>
        <v>383.71760015999985</v>
      </c>
      <c r="K5" s="464">
        <v>2218.45074</v>
      </c>
      <c r="L5" s="464">
        <f>I5/K5*100-100</f>
        <v>3.7798838373125108</v>
      </c>
      <c r="M5" s="3">
        <v>4018</v>
      </c>
      <c r="N5" s="358">
        <f>M5/I5*100</f>
        <v>174.52070647461403</v>
      </c>
    </row>
    <row r="6" spans="1:14" ht="31.5">
      <c r="A6" s="60" t="s">
        <v>288</v>
      </c>
      <c r="B6" s="30" t="s">
        <v>2371</v>
      </c>
      <c r="C6" s="303" t="s">
        <v>75</v>
      </c>
      <c r="D6" s="296" t="s">
        <v>275</v>
      </c>
      <c r="E6" s="398">
        <f>'Тарифные ставки'!$B$9</f>
        <v>184.069</v>
      </c>
      <c r="F6" s="398">
        <v>1</v>
      </c>
      <c r="G6" s="398">
        <f t="shared" si="0"/>
        <v>184.069</v>
      </c>
      <c r="H6" s="401">
        <f>G6*'Тарифные ставки'!$B$13</f>
        <v>474.89802</v>
      </c>
      <c r="I6" s="401">
        <f>H6*'Тарифные ставки'!$B$14*'Тарифные ставки'!$B$15</f>
        <v>575.57640024</v>
      </c>
      <c r="J6" s="401">
        <f>I6-I6/'Тарифные ставки'!$B$15</f>
        <v>95.92940003999996</v>
      </c>
      <c r="K6" s="464">
        <v>554.612685</v>
      </c>
      <c r="L6" s="464">
        <f aca="true" t="shared" si="1" ref="L6:L62">I6/K6*100-100</f>
        <v>3.7798838373125108</v>
      </c>
      <c r="N6" s="358">
        <f aca="true" t="shared" si="2" ref="N6:N62">M6/I6*100</f>
        <v>0</v>
      </c>
    </row>
    <row r="7" spans="1:14" ht="15.75">
      <c r="A7" s="60" t="s">
        <v>289</v>
      </c>
      <c r="B7" s="39" t="s">
        <v>1992</v>
      </c>
      <c r="C7" s="303"/>
      <c r="D7" s="63" t="s">
        <v>275</v>
      </c>
      <c r="E7" s="398">
        <f>'Тарифные ставки'!$B$9</f>
        <v>184.069</v>
      </c>
      <c r="F7" s="398">
        <v>0.7</v>
      </c>
      <c r="G7" s="398">
        <f t="shared" si="0"/>
        <v>128.8483</v>
      </c>
      <c r="H7" s="401">
        <f>G7*'Тарифные ставки'!$B$13</f>
        <v>332.428614</v>
      </c>
      <c r="I7" s="401">
        <f>H7*'Тарифные ставки'!$B$14*'Тарифные ставки'!$B$15</f>
        <v>402.903480168</v>
      </c>
      <c r="J7" s="401">
        <f>I7-I7/'Тарифные ставки'!$B$15</f>
        <v>67.15058002799998</v>
      </c>
      <c r="K7" s="464">
        <v>388.2288795</v>
      </c>
      <c r="L7" s="464">
        <f t="shared" si="1"/>
        <v>3.7798838373125108</v>
      </c>
      <c r="M7" s="3">
        <v>583</v>
      </c>
      <c r="N7" s="358">
        <f t="shared" si="2"/>
        <v>144.69966845580598</v>
      </c>
    </row>
    <row r="8" spans="1:14" ht="36.75" customHeight="1">
      <c r="A8" s="96" t="s">
        <v>290</v>
      </c>
      <c r="B8" s="608" t="s">
        <v>2437</v>
      </c>
      <c r="C8" s="304" t="s">
        <v>75</v>
      </c>
      <c r="D8" s="461" t="s">
        <v>2316</v>
      </c>
      <c r="E8" s="396">
        <f>'Тарифные ставки'!$B$5</f>
        <v>137.4825</v>
      </c>
      <c r="F8" s="396">
        <v>2.88</v>
      </c>
      <c r="G8" s="400">
        <f t="shared" si="0"/>
        <v>395.9496</v>
      </c>
      <c r="H8" s="396">
        <f>SUM(G8:G9)*'Тарифные ставки'!$B$13</f>
        <v>2122.4826144000003</v>
      </c>
      <c r="I8" s="398">
        <f>H8*'Тарифные ставки'!$B$14*'Тарифные ставки'!$B$15</f>
        <v>2572.4489286528</v>
      </c>
      <c r="J8" s="396">
        <f>I8-I8/'Тарифные ставки'!$B$15</f>
        <v>428.7414881087998</v>
      </c>
      <c r="K8" s="465">
        <v>2114.9672227200003</v>
      </c>
      <c r="L8" s="465">
        <f t="shared" si="1"/>
        <v>21.630675928133087</v>
      </c>
      <c r="M8" s="3">
        <v>4236</v>
      </c>
      <c r="N8" s="358">
        <f t="shared" si="2"/>
        <v>164.66799215401363</v>
      </c>
    </row>
    <row r="9" spans="1:14" ht="15.75" hidden="1">
      <c r="A9" s="45"/>
      <c r="B9" s="609"/>
      <c r="C9" s="302"/>
      <c r="D9" s="462" t="s">
        <v>47</v>
      </c>
      <c r="E9" s="466">
        <f>'Тарифные ставки'!$B$6</f>
        <v>148.166</v>
      </c>
      <c r="F9" s="399">
        <v>2.88</v>
      </c>
      <c r="G9" s="399">
        <f t="shared" si="0"/>
        <v>426.71808</v>
      </c>
      <c r="H9" s="399"/>
      <c r="I9" s="399"/>
      <c r="J9" s="399"/>
      <c r="K9" s="465"/>
      <c r="L9" s="465"/>
      <c r="N9" s="358"/>
    </row>
    <row r="10" spans="1:14" ht="15.75">
      <c r="A10" s="60" t="s">
        <v>291</v>
      </c>
      <c r="B10" s="39" t="s">
        <v>2008</v>
      </c>
      <c r="C10" s="303" t="s">
        <v>75</v>
      </c>
      <c r="D10" s="463" t="s">
        <v>2316</v>
      </c>
      <c r="E10" s="398">
        <f>'Тарифные ставки'!$B$5</f>
        <v>137.4825</v>
      </c>
      <c r="F10" s="398">
        <v>2.88</v>
      </c>
      <c r="G10" s="398">
        <f t="shared" si="0"/>
        <v>395.9496</v>
      </c>
      <c r="H10" s="401">
        <f>G10*'Тарифные ставки'!$B$13</f>
        <v>1021.5499679999999</v>
      </c>
      <c r="I10" s="401">
        <f>H10*'Тарифные ставки'!$B$14*'Тарифные ставки'!$B$15</f>
        <v>1238.118561216</v>
      </c>
      <c r="J10" s="398">
        <f>I10-I10/'Тарифные ставки'!$B$15</f>
        <v>206.35309353599996</v>
      </c>
      <c r="K10" s="465">
        <v>1018.4704041599999</v>
      </c>
      <c r="L10" s="465">
        <f t="shared" si="1"/>
        <v>21.566474210623568</v>
      </c>
      <c r="M10" s="3">
        <v>2961</v>
      </c>
      <c r="N10" s="358">
        <f t="shared" si="2"/>
        <v>239.15318716261692</v>
      </c>
    </row>
    <row r="11" spans="1:14" ht="15.75" hidden="1">
      <c r="A11" s="13" t="s">
        <v>292</v>
      </c>
      <c r="B11" s="608" t="s">
        <v>1993</v>
      </c>
      <c r="C11" s="304" t="s">
        <v>75</v>
      </c>
      <c r="D11" s="461" t="s">
        <v>2316</v>
      </c>
      <c r="E11" s="398">
        <f>119.55*1.15</f>
        <v>137.4825</v>
      </c>
      <c r="F11" s="396">
        <v>9.7</v>
      </c>
      <c r="G11" s="400">
        <f t="shared" si="0"/>
        <v>1333.5802499999998</v>
      </c>
      <c r="H11" s="401">
        <f>G11*'Тарифные ставки'!$B$13</f>
        <v>3440.6370449999995</v>
      </c>
      <c r="I11" s="401">
        <f>H11*'Тарифные ставки'!$B$14*'Тарифные ставки'!$B$15</f>
        <v>4170.052098539999</v>
      </c>
      <c r="J11" s="396">
        <f>I11-I11/'Тарифные ставки'!$B$15</f>
        <v>695.0086830899995</v>
      </c>
      <c r="K11" s="465">
        <v>5257.7596005</v>
      </c>
      <c r="L11" s="465">
        <f t="shared" si="1"/>
        <v>-20.687661373041138</v>
      </c>
      <c r="N11" s="358">
        <f t="shared" si="2"/>
        <v>0</v>
      </c>
    </row>
    <row r="12" spans="1:14" ht="15.75" hidden="1">
      <c r="A12" s="45"/>
      <c r="B12" s="609"/>
      <c r="C12" s="302"/>
      <c r="D12" s="462" t="s">
        <v>47</v>
      </c>
      <c r="E12" s="398">
        <f>119.55*1.15</f>
        <v>137.4825</v>
      </c>
      <c r="F12" s="399">
        <v>4.8</v>
      </c>
      <c r="G12" s="399">
        <f t="shared" si="0"/>
        <v>659.9159999999999</v>
      </c>
      <c r="H12" s="401">
        <f>G12*'Тарифные ставки'!$B$13</f>
        <v>1702.5832799999998</v>
      </c>
      <c r="I12" s="401">
        <f>H12*'Тарифные ставки'!$B$14*'Тарифные ставки'!$B$15</f>
        <v>2063.5309353599996</v>
      </c>
      <c r="J12" s="399">
        <f>I12-I12/'Тарифные ставки'!$B$15</f>
        <v>343.9218225599998</v>
      </c>
      <c r="K12" s="465"/>
      <c r="L12" s="465" t="e">
        <f t="shared" si="1"/>
        <v>#DIV/0!</v>
      </c>
      <c r="N12" s="358">
        <f t="shared" si="2"/>
        <v>0</v>
      </c>
    </row>
    <row r="13" spans="1:14" ht="15.75" hidden="1">
      <c r="A13" s="13" t="s">
        <v>293</v>
      </c>
      <c r="B13" s="608" t="s">
        <v>1994</v>
      </c>
      <c r="C13" s="304" t="s">
        <v>75</v>
      </c>
      <c r="D13" s="461" t="s">
        <v>2316</v>
      </c>
      <c r="E13" s="398">
        <f>119.55*1.15</f>
        <v>137.4825</v>
      </c>
      <c r="F13" s="396">
        <v>18.6</v>
      </c>
      <c r="G13" s="400">
        <f t="shared" si="0"/>
        <v>2557.1745</v>
      </c>
      <c r="H13" s="401">
        <f>G13*'Тарифные ставки'!$B$13</f>
        <v>6597.51021</v>
      </c>
      <c r="I13" s="401">
        <f>H13*'Тарифные ставки'!$B$14*'Тарифные ставки'!$B$15</f>
        <v>7996.18237452</v>
      </c>
      <c r="J13" s="396">
        <f>I13-I13/'Тарифные ставки'!$B$15</f>
        <v>1332.6970624199994</v>
      </c>
      <c r="K13" s="465"/>
      <c r="L13" s="465" t="e">
        <f t="shared" si="1"/>
        <v>#DIV/0!</v>
      </c>
      <c r="N13" s="358">
        <f t="shared" si="2"/>
        <v>0</v>
      </c>
    </row>
    <row r="14" spans="1:14" ht="15.75" hidden="1">
      <c r="A14" s="45" t="s">
        <v>1739</v>
      </c>
      <c r="B14" s="609"/>
      <c r="C14" s="302"/>
      <c r="D14" s="462" t="s">
        <v>47</v>
      </c>
      <c r="E14" s="398">
        <f>119.55*1.15</f>
        <v>137.4825</v>
      </c>
      <c r="F14" s="399">
        <v>9.4</v>
      </c>
      <c r="G14" s="399">
        <f t="shared" si="0"/>
        <v>1292.3355</v>
      </c>
      <c r="H14" s="401">
        <f>G14*'Тарифные ставки'!$B$13</f>
        <v>3334.22559</v>
      </c>
      <c r="I14" s="401">
        <f>H14*'Тарифные ставки'!$B$14*'Тарифные ставки'!$B$15</f>
        <v>4041.0814150799997</v>
      </c>
      <c r="J14" s="399">
        <f>I14-I14/'Тарифные ставки'!$B$15</f>
        <v>673.5135691799996</v>
      </c>
      <c r="K14" s="465"/>
      <c r="L14" s="465" t="e">
        <f t="shared" si="1"/>
        <v>#DIV/0!</v>
      </c>
      <c r="N14" s="358">
        <f t="shared" si="2"/>
        <v>0</v>
      </c>
    </row>
    <row r="15" spans="1:14" ht="15.75">
      <c r="A15" s="98" t="s">
        <v>294</v>
      </c>
      <c r="B15" s="39" t="s">
        <v>1995</v>
      </c>
      <c r="C15" s="303" t="s">
        <v>75</v>
      </c>
      <c r="D15" s="463" t="s">
        <v>2316</v>
      </c>
      <c r="E15" s="398">
        <f>'Тарифные ставки'!$B$5</f>
        <v>137.4825</v>
      </c>
      <c r="F15" s="398">
        <v>4.32</v>
      </c>
      <c r="G15" s="398">
        <f t="shared" si="0"/>
        <v>593.9244</v>
      </c>
      <c r="H15" s="401">
        <f>G15*'Тарифные ставки'!$B$13</f>
        <v>1532.324952</v>
      </c>
      <c r="I15" s="401">
        <f>H15*'Тарифные ставки'!$B$14*'Тарифные ставки'!$B$15</f>
        <v>1857.1778418239999</v>
      </c>
      <c r="J15" s="398">
        <f>I15-I15/'Тарифные ставки'!$B$15</f>
        <v>309.52964030399994</v>
      </c>
      <c r="K15" s="465">
        <v>1527.7056062400002</v>
      </c>
      <c r="L15" s="465">
        <f t="shared" si="1"/>
        <v>21.56647421062354</v>
      </c>
      <c r="M15" s="3">
        <v>1918</v>
      </c>
      <c r="N15" s="358">
        <f t="shared" si="2"/>
        <v>103.27497759268249</v>
      </c>
    </row>
    <row r="16" spans="1:14" ht="15.75" hidden="1">
      <c r="A16" s="13" t="s">
        <v>295</v>
      </c>
      <c r="B16" s="608" t="s">
        <v>1996</v>
      </c>
      <c r="C16" s="304" t="s">
        <v>75</v>
      </c>
      <c r="D16" s="461" t="s">
        <v>2316</v>
      </c>
      <c r="E16" s="396">
        <f>'Тарифные ставки'!$B$5</f>
        <v>137.4825</v>
      </c>
      <c r="F16" s="396">
        <v>2.88</v>
      </c>
      <c r="G16" s="400">
        <f t="shared" si="0"/>
        <v>395.9496</v>
      </c>
      <c r="H16" s="396">
        <f>SUM(G16:G17)*3.45</f>
        <v>2732.05224</v>
      </c>
      <c r="I16" s="401">
        <f>H16*'Тарифные ставки'!$B$14*'Тарифные ставки'!$B$15</f>
        <v>3311.2473148799995</v>
      </c>
      <c r="J16" s="396">
        <f>I16-I16/'Тарифные ставки'!$B$15</f>
        <v>551.8745524799997</v>
      </c>
      <c r="K16" s="465"/>
      <c r="L16" s="465" t="e">
        <f t="shared" si="1"/>
        <v>#DIV/0!</v>
      </c>
      <c r="N16" s="358">
        <f t="shared" si="2"/>
        <v>0</v>
      </c>
    </row>
    <row r="17" spans="1:14" ht="15.75" hidden="1">
      <c r="A17" s="45"/>
      <c r="B17" s="609"/>
      <c r="C17" s="302"/>
      <c r="D17" s="462" t="s">
        <v>47</v>
      </c>
      <c r="E17" s="396">
        <f>'Тарифные ставки'!$B$5</f>
        <v>137.4825</v>
      </c>
      <c r="F17" s="399">
        <v>2.88</v>
      </c>
      <c r="G17" s="399">
        <f t="shared" si="0"/>
        <v>395.9496</v>
      </c>
      <c r="H17" s="399"/>
      <c r="I17" s="401">
        <f>H17*'Тарифные ставки'!$B$14*'Тарифные ставки'!$B$15</f>
        <v>0</v>
      </c>
      <c r="J17" s="399">
        <f>I17-I17/'Тарифные ставки'!$B$15</f>
        <v>0</v>
      </c>
      <c r="K17" s="465"/>
      <c r="L17" s="465" t="e">
        <f t="shared" si="1"/>
        <v>#DIV/0!</v>
      </c>
      <c r="N17" s="358" t="e">
        <f t="shared" si="2"/>
        <v>#DIV/0!</v>
      </c>
    </row>
    <row r="18" spans="1:14" ht="15.75">
      <c r="A18" s="13" t="s">
        <v>296</v>
      </c>
      <c r="B18" s="608" t="s">
        <v>1997</v>
      </c>
      <c r="C18" s="304" t="s">
        <v>813</v>
      </c>
      <c r="D18" s="461" t="s">
        <v>2316</v>
      </c>
      <c r="E18" s="400">
        <f>'Тарифные ставки'!$B$5</f>
        <v>137.4825</v>
      </c>
      <c r="F18" s="396">
        <v>1.44</v>
      </c>
      <c r="G18" s="400">
        <f t="shared" si="0"/>
        <v>197.9748</v>
      </c>
      <c r="H18" s="396">
        <f>SUM(G18:G19)*'Тарифные ставки'!$B$13</f>
        <v>1061.2413072000002</v>
      </c>
      <c r="I18" s="398">
        <f>H18*'Тарифные ставки'!$B$14*'Тарифные ставки'!$B$15</f>
        <v>1286.2244643264</v>
      </c>
      <c r="J18" s="396">
        <f>I18-I18/'Тарифные ставки'!$B$15</f>
        <v>214.3707440543999</v>
      </c>
      <c r="K18" s="465">
        <v>1075.4070624000003</v>
      </c>
      <c r="L18" s="465">
        <f t="shared" si="1"/>
        <v>19.6034979959975</v>
      </c>
      <c r="M18" s="3">
        <v>2111</v>
      </c>
      <c r="N18" s="358">
        <f t="shared" si="2"/>
        <v>164.1237636624753</v>
      </c>
    </row>
    <row r="19" spans="1:14" ht="15.75" hidden="1">
      <c r="A19" s="45"/>
      <c r="B19" s="609"/>
      <c r="C19" s="302"/>
      <c r="D19" s="462" t="s">
        <v>47</v>
      </c>
      <c r="E19" s="466">
        <f>'Тарифные ставки'!$B$6</f>
        <v>148.166</v>
      </c>
      <c r="F19" s="399">
        <v>1.44</v>
      </c>
      <c r="G19" s="399">
        <f t="shared" si="0"/>
        <v>213.35904</v>
      </c>
      <c r="H19" s="399"/>
      <c r="I19" s="399"/>
      <c r="J19" s="399"/>
      <c r="K19" s="465"/>
      <c r="L19" s="465"/>
      <c r="N19" s="358"/>
    </row>
    <row r="20" spans="1:14" ht="15.75" hidden="1">
      <c r="A20" s="97" t="s">
        <v>297</v>
      </c>
      <c r="B20" s="608" t="s">
        <v>1998</v>
      </c>
      <c r="C20" s="304" t="s">
        <v>75</v>
      </c>
      <c r="D20" s="461" t="s">
        <v>2316</v>
      </c>
      <c r="E20" s="396">
        <v>78.97</v>
      </c>
      <c r="F20" s="396">
        <v>1.44</v>
      </c>
      <c r="G20" s="400">
        <f t="shared" si="0"/>
        <v>113.71679999999999</v>
      </c>
      <c r="H20" s="396">
        <f>SUM(G20:G21)*3.45</f>
        <v>814.7023200000001</v>
      </c>
      <c r="I20" s="396"/>
      <c r="J20" s="396"/>
      <c r="K20" s="465"/>
      <c r="L20" s="465" t="e">
        <f t="shared" si="1"/>
        <v>#DIV/0!</v>
      </c>
      <c r="N20" s="358" t="e">
        <f t="shared" si="2"/>
        <v>#DIV/0!</v>
      </c>
    </row>
    <row r="21" spans="1:14" ht="15.75" hidden="1">
      <c r="A21" s="45"/>
      <c r="B21" s="609"/>
      <c r="C21" s="302"/>
      <c r="D21" s="462" t="s">
        <v>47</v>
      </c>
      <c r="E21" s="466">
        <v>85.02</v>
      </c>
      <c r="F21" s="399">
        <v>1.44</v>
      </c>
      <c r="G21" s="399">
        <f t="shared" si="0"/>
        <v>122.4288</v>
      </c>
      <c r="H21" s="399"/>
      <c r="I21" s="399"/>
      <c r="J21" s="399"/>
      <c r="K21" s="465"/>
      <c r="L21" s="465" t="e">
        <f t="shared" si="1"/>
        <v>#DIV/0!</v>
      </c>
      <c r="N21" s="358" t="e">
        <f t="shared" si="2"/>
        <v>#DIV/0!</v>
      </c>
    </row>
    <row r="22" spans="1:14" ht="15.75" hidden="1">
      <c r="A22" s="98" t="s">
        <v>298</v>
      </c>
      <c r="B22" s="39" t="s">
        <v>1999</v>
      </c>
      <c r="C22" s="303" t="s">
        <v>75</v>
      </c>
      <c r="D22" s="463" t="s">
        <v>2316</v>
      </c>
      <c r="E22" s="396">
        <v>78.97</v>
      </c>
      <c r="F22" s="398">
        <v>2</v>
      </c>
      <c r="G22" s="398">
        <f t="shared" si="0"/>
        <v>157.94</v>
      </c>
      <c r="H22" s="398">
        <f>G22*3.45</f>
        <v>544.893</v>
      </c>
      <c r="I22" s="398"/>
      <c r="J22" s="398"/>
      <c r="K22" s="465"/>
      <c r="L22" s="465" t="e">
        <f t="shared" si="1"/>
        <v>#DIV/0!</v>
      </c>
      <c r="N22" s="358" t="e">
        <f t="shared" si="2"/>
        <v>#DIV/0!</v>
      </c>
    </row>
    <row r="23" spans="1:14" ht="15.75" hidden="1">
      <c r="A23" s="97" t="s">
        <v>299</v>
      </c>
      <c r="B23" s="608" t="s">
        <v>2000</v>
      </c>
      <c r="C23" s="304" t="s">
        <v>810</v>
      </c>
      <c r="D23" s="461" t="s">
        <v>2312</v>
      </c>
      <c r="E23" s="396">
        <v>78.97</v>
      </c>
      <c r="F23" s="396">
        <v>2.43</v>
      </c>
      <c r="G23" s="400">
        <f t="shared" si="0"/>
        <v>191.89710000000002</v>
      </c>
      <c r="H23" s="396">
        <f>SUM(G23:G24)*3.45</f>
        <v>1374.8101650000003</v>
      </c>
      <c r="I23" s="396"/>
      <c r="J23" s="396"/>
      <c r="K23" s="465"/>
      <c r="L23" s="465" t="e">
        <f t="shared" si="1"/>
        <v>#DIV/0!</v>
      </c>
      <c r="N23" s="358" t="e">
        <f t="shared" si="2"/>
        <v>#DIV/0!</v>
      </c>
    </row>
    <row r="24" spans="1:14" ht="15.75" hidden="1">
      <c r="A24" s="45"/>
      <c r="B24" s="609"/>
      <c r="C24" s="302"/>
      <c r="D24" s="462" t="s">
        <v>47</v>
      </c>
      <c r="E24" s="466">
        <v>85.02</v>
      </c>
      <c r="F24" s="399">
        <v>2.43</v>
      </c>
      <c r="G24" s="399">
        <f t="shared" si="0"/>
        <v>206.5986</v>
      </c>
      <c r="H24" s="399"/>
      <c r="I24" s="399"/>
      <c r="J24" s="399"/>
      <c r="K24" s="465"/>
      <c r="L24" s="465" t="e">
        <f t="shared" si="1"/>
        <v>#DIV/0!</v>
      </c>
      <c r="N24" s="358" t="e">
        <f t="shared" si="2"/>
        <v>#DIV/0!</v>
      </c>
    </row>
    <row r="25" spans="1:14" ht="15.75" hidden="1">
      <c r="A25" s="60" t="s">
        <v>300</v>
      </c>
      <c r="B25" s="175" t="s">
        <v>2002</v>
      </c>
      <c r="C25" s="303" t="s">
        <v>810</v>
      </c>
      <c r="D25" s="463" t="s">
        <v>2312</v>
      </c>
      <c r="E25" s="396">
        <v>78.97</v>
      </c>
      <c r="F25" s="398">
        <v>2.94</v>
      </c>
      <c r="G25" s="398">
        <f t="shared" si="0"/>
        <v>232.1718</v>
      </c>
      <c r="H25" s="398">
        <f>G25*3.45</f>
        <v>800.99271</v>
      </c>
      <c r="I25" s="398"/>
      <c r="J25" s="398"/>
      <c r="K25" s="465"/>
      <c r="L25" s="465" t="e">
        <f t="shared" si="1"/>
        <v>#DIV/0!</v>
      </c>
      <c r="N25" s="358" t="e">
        <f t="shared" si="2"/>
        <v>#DIV/0!</v>
      </c>
    </row>
    <row r="26" spans="1:14" ht="15.75" hidden="1">
      <c r="A26" s="13" t="s">
        <v>301</v>
      </c>
      <c r="B26" s="608" t="s">
        <v>2001</v>
      </c>
      <c r="C26" s="304" t="s">
        <v>810</v>
      </c>
      <c r="D26" s="461" t="s">
        <v>2312</v>
      </c>
      <c r="E26" s="396">
        <v>78.97</v>
      </c>
      <c r="F26" s="396">
        <v>0.67</v>
      </c>
      <c r="G26" s="400">
        <f t="shared" si="0"/>
        <v>52.9099</v>
      </c>
      <c r="H26" s="396">
        <f>SUM(G26:G27)*3.45</f>
        <v>379.062885</v>
      </c>
      <c r="I26" s="396"/>
      <c r="J26" s="396"/>
      <c r="K26" s="465"/>
      <c r="L26" s="465" t="e">
        <f t="shared" si="1"/>
        <v>#DIV/0!</v>
      </c>
      <c r="N26" s="358" t="e">
        <f t="shared" si="2"/>
        <v>#DIV/0!</v>
      </c>
    </row>
    <row r="27" spans="1:14" ht="15.75" hidden="1">
      <c r="A27" s="45"/>
      <c r="B27" s="609"/>
      <c r="C27" s="302"/>
      <c r="D27" s="462" t="s">
        <v>47</v>
      </c>
      <c r="E27" s="466">
        <v>85.02</v>
      </c>
      <c r="F27" s="399">
        <v>0.67</v>
      </c>
      <c r="G27" s="399">
        <f t="shared" si="0"/>
        <v>56.9634</v>
      </c>
      <c r="H27" s="399"/>
      <c r="I27" s="399"/>
      <c r="J27" s="399"/>
      <c r="K27" s="465"/>
      <c r="L27" s="465" t="e">
        <f t="shared" si="1"/>
        <v>#DIV/0!</v>
      </c>
      <c r="N27" s="358" t="e">
        <f t="shared" si="2"/>
        <v>#DIV/0!</v>
      </c>
    </row>
    <row r="28" spans="1:14" ht="15.75" hidden="1">
      <c r="A28" s="60" t="s">
        <v>302</v>
      </c>
      <c r="B28" s="39" t="s">
        <v>2002</v>
      </c>
      <c r="C28" s="303" t="s">
        <v>810</v>
      </c>
      <c r="D28" s="463" t="s">
        <v>2312</v>
      </c>
      <c r="E28" s="396">
        <v>78.97</v>
      </c>
      <c r="F28" s="398">
        <v>0.8</v>
      </c>
      <c r="G28" s="398">
        <f t="shared" si="0"/>
        <v>63.176</v>
      </c>
      <c r="H28" s="398">
        <f>G28*3.45</f>
        <v>217.95720000000003</v>
      </c>
      <c r="I28" s="398"/>
      <c r="J28" s="398"/>
      <c r="K28" s="465"/>
      <c r="L28" s="465" t="e">
        <f t="shared" si="1"/>
        <v>#DIV/0!</v>
      </c>
      <c r="N28" s="358" t="e">
        <f t="shared" si="2"/>
        <v>#DIV/0!</v>
      </c>
    </row>
    <row r="29" spans="1:14" ht="15.75" hidden="1">
      <c r="A29" s="13" t="s">
        <v>303</v>
      </c>
      <c r="B29" s="608" t="s">
        <v>1740</v>
      </c>
      <c r="C29" s="304" t="s">
        <v>810</v>
      </c>
      <c r="D29" s="461" t="s">
        <v>2312</v>
      </c>
      <c r="E29" s="396">
        <v>78.97</v>
      </c>
      <c r="F29" s="396">
        <v>2.82</v>
      </c>
      <c r="G29" s="400">
        <f t="shared" si="0"/>
        <v>222.69539999999998</v>
      </c>
      <c r="H29" s="396">
        <f>SUM(G29:G30)*3.45</f>
        <v>1598.3918999999999</v>
      </c>
      <c r="I29" s="396"/>
      <c r="J29" s="396"/>
      <c r="K29" s="465"/>
      <c r="L29" s="465" t="e">
        <f t="shared" si="1"/>
        <v>#DIV/0!</v>
      </c>
      <c r="N29" s="358" t="e">
        <f t="shared" si="2"/>
        <v>#DIV/0!</v>
      </c>
    </row>
    <row r="30" spans="1:14" ht="33" customHeight="1" hidden="1">
      <c r="A30" s="45"/>
      <c r="B30" s="609"/>
      <c r="C30" s="302"/>
      <c r="D30" s="462" t="s">
        <v>47</v>
      </c>
      <c r="E30" s="466">
        <v>85.02</v>
      </c>
      <c r="F30" s="399">
        <v>2.83</v>
      </c>
      <c r="G30" s="399">
        <f t="shared" si="0"/>
        <v>240.6066</v>
      </c>
      <c r="H30" s="399"/>
      <c r="I30" s="399"/>
      <c r="J30" s="399"/>
      <c r="K30" s="465"/>
      <c r="L30" s="465" t="e">
        <f t="shared" si="1"/>
        <v>#DIV/0!</v>
      </c>
      <c r="N30" s="358" t="e">
        <f t="shared" si="2"/>
        <v>#DIV/0!</v>
      </c>
    </row>
    <row r="31" spans="1:14" ht="15.75" hidden="1">
      <c r="A31" s="60" t="s">
        <v>1723</v>
      </c>
      <c r="B31" s="175" t="s">
        <v>2002</v>
      </c>
      <c r="C31" s="303" t="s">
        <v>810</v>
      </c>
      <c r="D31" s="463" t="s">
        <v>2312</v>
      </c>
      <c r="E31" s="396">
        <v>78.97</v>
      </c>
      <c r="F31" s="398">
        <v>3.4</v>
      </c>
      <c r="G31" s="398">
        <f t="shared" si="0"/>
        <v>268.498</v>
      </c>
      <c r="H31" s="398">
        <f>G31*3.45</f>
        <v>926.3181</v>
      </c>
      <c r="I31" s="398"/>
      <c r="J31" s="398"/>
      <c r="K31" s="465"/>
      <c r="L31" s="465" t="e">
        <f t="shared" si="1"/>
        <v>#DIV/0!</v>
      </c>
      <c r="N31" s="358" t="e">
        <f t="shared" si="2"/>
        <v>#DIV/0!</v>
      </c>
    </row>
    <row r="32" spans="1:14" ht="15.75" hidden="1">
      <c r="A32" s="13" t="s">
        <v>1724</v>
      </c>
      <c r="B32" s="608" t="s">
        <v>2003</v>
      </c>
      <c r="C32" s="304" t="s">
        <v>810</v>
      </c>
      <c r="D32" s="461" t="s">
        <v>2312</v>
      </c>
      <c r="E32" s="396">
        <v>78.97</v>
      </c>
      <c r="F32" s="396">
        <v>1.15</v>
      </c>
      <c r="G32" s="400">
        <f t="shared" si="0"/>
        <v>90.81549999999999</v>
      </c>
      <c r="H32" s="396">
        <f>SUM(G32:G33)*3.45</f>
        <v>650.6303249999999</v>
      </c>
      <c r="I32" s="396"/>
      <c r="J32" s="396"/>
      <c r="K32" s="465"/>
      <c r="L32" s="465" t="e">
        <f t="shared" si="1"/>
        <v>#DIV/0!</v>
      </c>
      <c r="N32" s="358" t="e">
        <f t="shared" si="2"/>
        <v>#DIV/0!</v>
      </c>
    </row>
    <row r="33" spans="1:14" ht="15.75" hidden="1">
      <c r="A33" s="45"/>
      <c r="B33" s="609"/>
      <c r="C33" s="302"/>
      <c r="D33" s="462" t="s">
        <v>47</v>
      </c>
      <c r="E33" s="466">
        <v>85.02</v>
      </c>
      <c r="F33" s="399">
        <v>1.15</v>
      </c>
      <c r="G33" s="399">
        <f t="shared" si="0"/>
        <v>97.77299999999998</v>
      </c>
      <c r="H33" s="399"/>
      <c r="I33" s="399"/>
      <c r="J33" s="399"/>
      <c r="K33" s="465"/>
      <c r="L33" s="465" t="e">
        <f t="shared" si="1"/>
        <v>#DIV/0!</v>
      </c>
      <c r="N33" s="358" t="e">
        <f t="shared" si="2"/>
        <v>#DIV/0!</v>
      </c>
    </row>
    <row r="34" spans="1:14" ht="15.75" hidden="1">
      <c r="A34" s="60" t="s">
        <v>1725</v>
      </c>
      <c r="B34" s="175" t="s">
        <v>2002</v>
      </c>
      <c r="C34" s="303" t="s">
        <v>810</v>
      </c>
      <c r="D34" s="463" t="s">
        <v>2312</v>
      </c>
      <c r="E34" s="396">
        <v>78.97</v>
      </c>
      <c r="F34" s="398">
        <v>1.54</v>
      </c>
      <c r="G34" s="398">
        <f t="shared" si="0"/>
        <v>121.6138</v>
      </c>
      <c r="H34" s="398">
        <f>G34*3.45</f>
        <v>419.56761</v>
      </c>
      <c r="I34" s="398"/>
      <c r="J34" s="398"/>
      <c r="K34" s="465"/>
      <c r="L34" s="465" t="e">
        <f t="shared" si="1"/>
        <v>#DIV/0!</v>
      </c>
      <c r="N34" s="358" t="e">
        <f t="shared" si="2"/>
        <v>#DIV/0!</v>
      </c>
    </row>
    <row r="35" spans="1:14" ht="15.75" hidden="1">
      <c r="A35" s="13" t="s">
        <v>1726</v>
      </c>
      <c r="B35" s="608" t="s">
        <v>1741</v>
      </c>
      <c r="C35" s="304" t="s">
        <v>810</v>
      </c>
      <c r="D35" s="461" t="s">
        <v>2312</v>
      </c>
      <c r="E35" s="396">
        <v>78.97</v>
      </c>
      <c r="F35" s="396">
        <v>12</v>
      </c>
      <c r="G35" s="400">
        <f t="shared" si="0"/>
        <v>947.64</v>
      </c>
      <c r="H35" s="396">
        <f>SUM(G35:G36)*3.45</f>
        <v>5029.272</v>
      </c>
      <c r="I35" s="396"/>
      <c r="J35" s="396"/>
      <c r="K35" s="465"/>
      <c r="L35" s="465" t="e">
        <f t="shared" si="1"/>
        <v>#DIV/0!</v>
      </c>
      <c r="N35" s="358" t="e">
        <f t="shared" si="2"/>
        <v>#DIV/0!</v>
      </c>
    </row>
    <row r="36" spans="1:14" ht="30.75" customHeight="1" hidden="1">
      <c r="A36" s="45"/>
      <c r="B36" s="609"/>
      <c r="C36" s="302"/>
      <c r="D36" s="462" t="s">
        <v>47</v>
      </c>
      <c r="E36" s="466">
        <v>85.02</v>
      </c>
      <c r="F36" s="399">
        <v>6</v>
      </c>
      <c r="G36" s="399">
        <f t="shared" si="0"/>
        <v>510.12</v>
      </c>
      <c r="H36" s="399"/>
      <c r="I36" s="399"/>
      <c r="J36" s="399"/>
      <c r="K36" s="465"/>
      <c r="L36" s="465" t="e">
        <f t="shared" si="1"/>
        <v>#DIV/0!</v>
      </c>
      <c r="N36" s="358" t="e">
        <f t="shared" si="2"/>
        <v>#DIV/0!</v>
      </c>
    </row>
    <row r="37" spans="1:14" ht="15.75" hidden="1">
      <c r="A37" s="99" t="s">
        <v>1727</v>
      </c>
      <c r="B37" s="608" t="s">
        <v>1037</v>
      </c>
      <c r="C37" s="305" t="s">
        <v>810</v>
      </c>
      <c r="D37" s="461" t="s">
        <v>2312</v>
      </c>
      <c r="E37" s="396">
        <v>78.97</v>
      </c>
      <c r="F37" s="400">
        <v>12.4</v>
      </c>
      <c r="G37" s="400">
        <f t="shared" si="0"/>
        <v>979.2280000000001</v>
      </c>
      <c r="H37" s="400">
        <f>SUM(G37:G38)*3.45</f>
        <v>5196.914400000001</v>
      </c>
      <c r="I37" s="400"/>
      <c r="J37" s="400"/>
      <c r="K37" s="465"/>
      <c r="L37" s="465" t="e">
        <f t="shared" si="1"/>
        <v>#DIV/0!</v>
      </c>
      <c r="N37" s="358" t="e">
        <f t="shared" si="2"/>
        <v>#DIV/0!</v>
      </c>
    </row>
    <row r="38" spans="1:14" ht="15.75" hidden="1">
      <c r="A38" s="45"/>
      <c r="B38" s="609"/>
      <c r="C38" s="302"/>
      <c r="D38" s="462" t="s">
        <v>47</v>
      </c>
      <c r="E38" s="466">
        <v>85.02</v>
      </c>
      <c r="F38" s="399">
        <v>6.2</v>
      </c>
      <c r="G38" s="399">
        <f t="shared" si="0"/>
        <v>527.124</v>
      </c>
      <c r="H38" s="399"/>
      <c r="I38" s="399"/>
      <c r="J38" s="399"/>
      <c r="K38" s="465"/>
      <c r="L38" s="465" t="e">
        <f t="shared" si="1"/>
        <v>#DIV/0!</v>
      </c>
      <c r="N38" s="358" t="e">
        <f t="shared" si="2"/>
        <v>#DIV/0!</v>
      </c>
    </row>
    <row r="39" spans="1:14" ht="31.5" hidden="1">
      <c r="A39" s="60" t="s">
        <v>1728</v>
      </c>
      <c r="B39" s="39" t="s">
        <v>2009</v>
      </c>
      <c r="C39" s="303" t="s">
        <v>813</v>
      </c>
      <c r="D39" s="463" t="s">
        <v>2312</v>
      </c>
      <c r="E39" s="396">
        <v>78.97</v>
      </c>
      <c r="F39" s="398">
        <v>2.5</v>
      </c>
      <c r="G39" s="398">
        <f t="shared" si="0"/>
        <v>197.425</v>
      </c>
      <c r="H39" s="398">
        <f>G39*3.45</f>
        <v>681.11625</v>
      </c>
      <c r="I39" s="398"/>
      <c r="J39" s="398"/>
      <c r="K39" s="465"/>
      <c r="L39" s="465" t="e">
        <f t="shared" si="1"/>
        <v>#DIV/0!</v>
      </c>
      <c r="N39" s="358" t="e">
        <f t="shared" si="2"/>
        <v>#DIV/0!</v>
      </c>
    </row>
    <row r="40" spans="1:14" ht="31.5" hidden="1">
      <c r="A40" s="60" t="s">
        <v>1729</v>
      </c>
      <c r="B40" s="39" t="s">
        <v>2004</v>
      </c>
      <c r="C40" s="303" t="s">
        <v>811</v>
      </c>
      <c r="D40" s="463" t="s">
        <v>2312</v>
      </c>
      <c r="E40" s="396">
        <v>78.97</v>
      </c>
      <c r="F40" s="398">
        <v>0.72</v>
      </c>
      <c r="G40" s="398">
        <f t="shared" si="0"/>
        <v>56.858399999999996</v>
      </c>
      <c r="H40" s="398">
        <f>G40*3.45</f>
        <v>196.16147999999998</v>
      </c>
      <c r="I40" s="398"/>
      <c r="J40" s="398"/>
      <c r="K40" s="465"/>
      <c r="L40" s="465" t="e">
        <f t="shared" si="1"/>
        <v>#DIV/0!</v>
      </c>
      <c r="N40" s="358" t="e">
        <f t="shared" si="2"/>
        <v>#DIV/0!</v>
      </c>
    </row>
    <row r="41" spans="1:14" ht="31.5" hidden="1">
      <c r="A41" s="60" t="s">
        <v>1730</v>
      </c>
      <c r="B41" s="39" t="s">
        <v>1038</v>
      </c>
      <c r="C41" s="303" t="s">
        <v>75</v>
      </c>
      <c r="D41" s="463" t="s">
        <v>2312</v>
      </c>
      <c r="E41" s="396">
        <v>78.97</v>
      </c>
      <c r="F41" s="400">
        <v>3.7</v>
      </c>
      <c r="G41" s="398">
        <f t="shared" si="0"/>
        <v>292.189</v>
      </c>
      <c r="H41" s="398">
        <f>G41*3.45</f>
        <v>1008.0520500000001</v>
      </c>
      <c r="I41" s="398"/>
      <c r="J41" s="398"/>
      <c r="K41" s="465"/>
      <c r="L41" s="465" t="e">
        <f t="shared" si="1"/>
        <v>#DIV/0!</v>
      </c>
      <c r="N41" s="358" t="e">
        <f t="shared" si="2"/>
        <v>#DIV/0!</v>
      </c>
    </row>
    <row r="42" spans="1:14" ht="47.25">
      <c r="A42" s="98" t="s">
        <v>1731</v>
      </c>
      <c r="B42" s="292" t="s">
        <v>2438</v>
      </c>
      <c r="C42" s="359" t="s">
        <v>75</v>
      </c>
      <c r="D42" s="375" t="s">
        <v>2316</v>
      </c>
      <c r="E42" s="396">
        <f>'Тарифные ставки'!$B$5</f>
        <v>137.4825</v>
      </c>
      <c r="F42" s="401">
        <v>1.4</v>
      </c>
      <c r="G42" s="401">
        <f t="shared" si="0"/>
        <v>192.47549999999998</v>
      </c>
      <c r="H42" s="401">
        <f>G42*'Тарифные ставки'!$B$13</f>
        <v>496.58678999999995</v>
      </c>
      <c r="I42" s="401">
        <f>H42*'Тарифные ставки'!$B$14*'Тарифные ставки'!$B$15</f>
        <v>601.8631894799998</v>
      </c>
      <c r="J42" s="401">
        <f>I42-I42/'Тарифные ставки'!$B$15</f>
        <v>100.31053157999997</v>
      </c>
      <c r="K42" s="464">
        <v>503.481132</v>
      </c>
      <c r="L42" s="464">
        <f t="shared" si="1"/>
        <v>19.540366307113132</v>
      </c>
      <c r="M42" s="283">
        <v>1338</v>
      </c>
      <c r="N42" s="358">
        <f t="shared" si="2"/>
        <v>222.30965830557116</v>
      </c>
    </row>
    <row r="43" spans="1:14" ht="47.25">
      <c r="A43" s="98" t="s">
        <v>1732</v>
      </c>
      <c r="B43" s="292" t="s">
        <v>2439</v>
      </c>
      <c r="C43" s="359" t="s">
        <v>75</v>
      </c>
      <c r="D43" s="375" t="s">
        <v>2316</v>
      </c>
      <c r="E43" s="398">
        <f>'Тарифные ставки'!$B$5</f>
        <v>137.4825</v>
      </c>
      <c r="F43" s="401">
        <v>1</v>
      </c>
      <c r="G43" s="401">
        <f t="shared" si="0"/>
        <v>137.4825</v>
      </c>
      <c r="H43" s="401">
        <f>G43*'Тарифные ставки'!$B$13</f>
        <v>354.70484999999996</v>
      </c>
      <c r="I43" s="401">
        <f>H43*'Тарифные ставки'!$B$14*'Тарифные ставки'!$B$15</f>
        <v>429.90227819999996</v>
      </c>
      <c r="J43" s="401">
        <f>I43-I43/'Тарифные ставки'!$B$15</f>
        <v>71.65037969999997</v>
      </c>
      <c r="K43" s="464">
        <v>359.62938</v>
      </c>
      <c r="L43" s="464">
        <f t="shared" si="1"/>
        <v>19.54036630711316</v>
      </c>
      <c r="M43" s="283">
        <v>956</v>
      </c>
      <c r="N43" s="358">
        <f t="shared" si="2"/>
        <v>222.37611859206007</v>
      </c>
    </row>
    <row r="44" spans="1:14" ht="72.75" customHeight="1">
      <c r="A44" s="60" t="s">
        <v>1733</v>
      </c>
      <c r="B44" s="292" t="s">
        <v>2440</v>
      </c>
      <c r="C44" s="303" t="s">
        <v>75</v>
      </c>
      <c r="D44" s="463" t="s">
        <v>2312</v>
      </c>
      <c r="E44" s="398">
        <f>'Тарифные ставки'!$B$5</f>
        <v>137.4825</v>
      </c>
      <c r="F44" s="398">
        <v>1.44</v>
      </c>
      <c r="G44" s="398">
        <f t="shared" si="0"/>
        <v>197.9748</v>
      </c>
      <c r="H44" s="401">
        <f>G44*'Тарифные ставки'!$B$13</f>
        <v>510.77498399999996</v>
      </c>
      <c r="I44" s="401">
        <f>H44*'Тарифные ставки'!$B$14*'Тарифные ставки'!$B$15</f>
        <v>619.059280608</v>
      </c>
      <c r="J44" s="398">
        <f>I44-I44/'Тарифные ставки'!$B$15</f>
        <v>103.17654676799998</v>
      </c>
      <c r="K44" s="465">
        <v>517.8663071999999</v>
      </c>
      <c r="L44" s="465">
        <f t="shared" si="1"/>
        <v>19.540366307113175</v>
      </c>
      <c r="M44" s="283">
        <v>1381</v>
      </c>
      <c r="N44" s="358">
        <f t="shared" si="2"/>
        <v>223.08041301693615</v>
      </c>
    </row>
    <row r="45" spans="1:14" ht="47.25">
      <c r="A45" s="60" t="s">
        <v>1734</v>
      </c>
      <c r="B45" s="460" t="s">
        <v>2037</v>
      </c>
      <c r="C45" s="359" t="s">
        <v>75</v>
      </c>
      <c r="D45" s="375" t="s">
        <v>2312</v>
      </c>
      <c r="E45" s="398">
        <f>'Тарифные ставки'!$B$5</f>
        <v>137.4825</v>
      </c>
      <c r="F45" s="401">
        <v>3.6</v>
      </c>
      <c r="G45" s="401">
        <f t="shared" si="0"/>
        <v>494.93699999999995</v>
      </c>
      <c r="H45" s="401">
        <f>G45*'Тарифные ставки'!$B$13</f>
        <v>1276.9374599999999</v>
      </c>
      <c r="I45" s="401">
        <f>H45*'Тарифные ставки'!$B$14*'Тарифные ставки'!$B$15</f>
        <v>1547.6482015199997</v>
      </c>
      <c r="J45" s="401">
        <f>I45-I45/'Тарифные ставки'!$B$15</f>
        <v>257.94136691999984</v>
      </c>
      <c r="K45" s="464">
        <v>1294.6657680000003</v>
      </c>
      <c r="L45" s="464">
        <f t="shared" si="1"/>
        <v>19.540366307113132</v>
      </c>
      <c r="M45" s="283">
        <v>3452</v>
      </c>
      <c r="N45" s="358">
        <f t="shared" si="2"/>
        <v>223.04810593322628</v>
      </c>
    </row>
    <row r="46" spans="1:14" ht="47.25">
      <c r="A46" s="98" t="s">
        <v>1735</v>
      </c>
      <c r="B46" s="292" t="s">
        <v>1089</v>
      </c>
      <c r="C46" s="359" t="s">
        <v>75</v>
      </c>
      <c r="D46" s="375" t="s">
        <v>2312</v>
      </c>
      <c r="E46" s="398">
        <f>'Тарифные ставки'!$B$5</f>
        <v>137.4825</v>
      </c>
      <c r="F46" s="401">
        <v>2.88</v>
      </c>
      <c r="G46" s="401">
        <f t="shared" si="0"/>
        <v>395.9496</v>
      </c>
      <c r="H46" s="401">
        <f>G46*'Тарифные ставки'!$B$13</f>
        <v>1021.5499679999999</v>
      </c>
      <c r="I46" s="401">
        <f>H46*'Тарифные ставки'!$B$14*'Тарифные ставки'!$B$15</f>
        <v>1238.118561216</v>
      </c>
      <c r="J46" s="401">
        <f>I46-I46/'Тарифные ставки'!$B$15</f>
        <v>206.35309353599996</v>
      </c>
      <c r="K46" s="464">
        <v>1035.7326143999999</v>
      </c>
      <c r="L46" s="464">
        <f t="shared" si="1"/>
        <v>19.540366307113175</v>
      </c>
      <c r="M46" s="283">
        <v>2762</v>
      </c>
      <c r="N46" s="358">
        <f t="shared" si="2"/>
        <v>223.08041301693615</v>
      </c>
    </row>
    <row r="47" spans="1:14" ht="47.25">
      <c r="A47" s="60" t="s">
        <v>1736</v>
      </c>
      <c r="B47" s="292" t="s">
        <v>1090</v>
      </c>
      <c r="C47" s="359" t="s">
        <v>75</v>
      </c>
      <c r="D47" s="375" t="s">
        <v>2312</v>
      </c>
      <c r="E47" s="398">
        <f>'Тарифные ставки'!$B$5</f>
        <v>137.4825</v>
      </c>
      <c r="F47" s="401">
        <v>4.32</v>
      </c>
      <c r="G47" s="401">
        <f t="shared" si="0"/>
        <v>593.9244</v>
      </c>
      <c r="H47" s="401">
        <f>G47*'Тарифные ставки'!$B$13</f>
        <v>1532.324952</v>
      </c>
      <c r="I47" s="401">
        <f>H47*'Тарифные ставки'!$B$14*'Тарифные ставки'!$B$15</f>
        <v>1857.1778418239999</v>
      </c>
      <c r="J47" s="401">
        <f>I47-I47/'Тарифные ставки'!$B$15</f>
        <v>309.52964030399994</v>
      </c>
      <c r="K47" s="464">
        <v>1553.5989216000003</v>
      </c>
      <c r="L47" s="464">
        <f t="shared" si="1"/>
        <v>19.54036630711316</v>
      </c>
      <c r="M47" s="283">
        <v>4143</v>
      </c>
      <c r="N47" s="358">
        <f t="shared" si="2"/>
        <v>223.08041301693615</v>
      </c>
    </row>
    <row r="48" spans="1:14" ht="47.25">
      <c r="A48" s="60" t="s">
        <v>1737</v>
      </c>
      <c r="B48" s="292" t="s">
        <v>445</v>
      </c>
      <c r="C48" s="359" t="s">
        <v>75</v>
      </c>
      <c r="D48" s="375" t="s">
        <v>2312</v>
      </c>
      <c r="E48" s="398">
        <f>'Тарифные ставки'!$B$5</f>
        <v>137.4825</v>
      </c>
      <c r="F48" s="401">
        <v>6.72</v>
      </c>
      <c r="G48" s="401">
        <f t="shared" si="0"/>
        <v>923.8823999999998</v>
      </c>
      <c r="H48" s="401">
        <f>G48*'Тарифные ставки'!$B$13</f>
        <v>2383.616592</v>
      </c>
      <c r="I48" s="401">
        <f>H48*'Тарифные ставки'!$B$14*'Тарифные ставки'!$B$15</f>
        <v>2888.943309504</v>
      </c>
      <c r="J48" s="401">
        <f>I48-I48/'Тарифные ставки'!$B$15</f>
        <v>481.49055158400006</v>
      </c>
      <c r="K48" s="464">
        <v>2416.7094336</v>
      </c>
      <c r="L48" s="464">
        <f t="shared" si="1"/>
        <v>19.540366307113175</v>
      </c>
      <c r="M48" s="283">
        <v>6445</v>
      </c>
      <c r="N48" s="358">
        <f t="shared" si="2"/>
        <v>223.09195126111825</v>
      </c>
    </row>
    <row r="49" spans="1:14" ht="63">
      <c r="A49" s="60" t="s">
        <v>1039</v>
      </c>
      <c r="B49" s="292" t="s">
        <v>2441</v>
      </c>
      <c r="C49" s="359" t="s">
        <v>75</v>
      </c>
      <c r="D49" s="375" t="s">
        <v>2312</v>
      </c>
      <c r="E49" s="398">
        <f>'Тарифные ставки'!$B$5</f>
        <v>137.4825</v>
      </c>
      <c r="F49" s="401">
        <v>2.45</v>
      </c>
      <c r="G49" s="401">
        <f t="shared" si="0"/>
        <v>336.832125</v>
      </c>
      <c r="H49" s="401">
        <f>G49*'Тарифные ставки'!$B$13</f>
        <v>869.0268825</v>
      </c>
      <c r="I49" s="401">
        <f>H49*'Тарифные ставки'!$B$14*'Тарифные ставки'!$B$15</f>
        <v>1053.26058159</v>
      </c>
      <c r="J49" s="401">
        <f>I49-I49/'Тарифные ставки'!$B$15</f>
        <v>175.54343026499998</v>
      </c>
      <c r="K49" s="464">
        <v>881.0919810000003</v>
      </c>
      <c r="L49" s="464">
        <f t="shared" si="1"/>
        <v>19.540366307113132</v>
      </c>
      <c r="M49" s="283">
        <v>2349</v>
      </c>
      <c r="N49" s="358">
        <f t="shared" si="2"/>
        <v>223.02173280366713</v>
      </c>
    </row>
    <row r="50" spans="1:14" ht="31.5">
      <c r="A50" s="98" t="s">
        <v>1738</v>
      </c>
      <c r="B50" s="292" t="s">
        <v>1040</v>
      </c>
      <c r="C50" s="359" t="s">
        <v>75</v>
      </c>
      <c r="D50" s="375" t="s">
        <v>2312</v>
      </c>
      <c r="E50" s="398">
        <f>'Тарифные ставки'!$B$5</f>
        <v>137.4825</v>
      </c>
      <c r="F50" s="401">
        <v>4</v>
      </c>
      <c r="G50" s="401">
        <f t="shared" si="0"/>
        <v>549.93</v>
      </c>
      <c r="H50" s="401">
        <f>G50*'Тарифные ставки'!$B$13</f>
        <v>1418.8193999999999</v>
      </c>
      <c r="I50" s="401">
        <f>H50*'Тарифные ставки'!$B$14*'Тарифные ставки'!$B$15</f>
        <v>1719.6091127999998</v>
      </c>
      <c r="J50" s="401">
        <f>I50-I50/'Тарифные ставки'!$B$15</f>
        <v>286.6015187999999</v>
      </c>
      <c r="K50" s="464">
        <v>1438.51752</v>
      </c>
      <c r="L50" s="464">
        <f t="shared" si="1"/>
        <v>19.54036630711316</v>
      </c>
      <c r="M50" s="283">
        <v>3837</v>
      </c>
      <c r="N50" s="358">
        <f t="shared" si="2"/>
        <v>223.132104350872</v>
      </c>
    </row>
    <row r="51" spans="1:14" ht="66.75" customHeight="1">
      <c r="A51" s="60" t="s">
        <v>1041</v>
      </c>
      <c r="B51" s="292" t="s">
        <v>2442</v>
      </c>
      <c r="C51" s="359" t="s">
        <v>75</v>
      </c>
      <c r="D51" s="375" t="s">
        <v>2312</v>
      </c>
      <c r="E51" s="398">
        <f>'Тарифные ставки'!$B$5</f>
        <v>137.4825</v>
      </c>
      <c r="F51" s="401">
        <v>5.04</v>
      </c>
      <c r="G51" s="401">
        <f t="shared" si="0"/>
        <v>692.9118</v>
      </c>
      <c r="H51" s="401">
        <f>G51*'Тарифные ставки'!$B$13</f>
        <v>1787.712444</v>
      </c>
      <c r="I51" s="401">
        <f>H51*'Тарифные ставки'!$B$14*'Тарифные ставки'!$B$15</f>
        <v>2166.707482128</v>
      </c>
      <c r="J51" s="401">
        <f>I51-I51/'Тарифные ставки'!$B$15</f>
        <v>361.1179136879998</v>
      </c>
      <c r="K51" s="464">
        <v>1812.5320752000005</v>
      </c>
      <c r="L51" s="464">
        <f t="shared" si="1"/>
        <v>19.540366307113132</v>
      </c>
      <c r="M51" s="283">
        <v>4832</v>
      </c>
      <c r="N51" s="358">
        <f t="shared" si="2"/>
        <v>223.0111835518435</v>
      </c>
    </row>
    <row r="52" spans="1:14" ht="70.5" customHeight="1">
      <c r="A52" s="60" t="s">
        <v>1042</v>
      </c>
      <c r="B52" s="292" t="s">
        <v>2443</v>
      </c>
      <c r="C52" s="359" t="s">
        <v>75</v>
      </c>
      <c r="D52" s="375" t="s">
        <v>2312</v>
      </c>
      <c r="E52" s="398">
        <f>'Тарифные ставки'!$B$5</f>
        <v>137.4825</v>
      </c>
      <c r="F52" s="401">
        <v>8.5</v>
      </c>
      <c r="G52" s="401">
        <f t="shared" si="0"/>
        <v>1168.60125</v>
      </c>
      <c r="H52" s="401">
        <f>G52*'Тарифные ставки'!$B$13</f>
        <v>3014.9912249999998</v>
      </c>
      <c r="I52" s="401">
        <f>H52*'Тарифные ставки'!$B$14*'Тарифные ставки'!$B$15</f>
        <v>3654.1693646999997</v>
      </c>
      <c r="J52" s="401">
        <f>I52-I52/'Тарифные ставки'!$B$15</f>
        <v>609.02822745</v>
      </c>
      <c r="K52" s="464">
        <v>3056.8497300000004</v>
      </c>
      <c r="L52" s="464">
        <f t="shared" si="1"/>
        <v>19.54036630711316</v>
      </c>
      <c r="M52" s="283">
        <v>8151</v>
      </c>
      <c r="N52" s="358">
        <f t="shared" si="2"/>
        <v>223.0602686000347</v>
      </c>
    </row>
    <row r="53" spans="1:14" ht="47.25">
      <c r="A53" s="60" t="s">
        <v>1043</v>
      </c>
      <c r="B53" s="292" t="s">
        <v>2444</v>
      </c>
      <c r="C53" s="359" t="s">
        <v>75</v>
      </c>
      <c r="D53" s="375" t="s">
        <v>2312</v>
      </c>
      <c r="E53" s="398">
        <f>'Тарифные ставки'!$B$5</f>
        <v>137.4825</v>
      </c>
      <c r="F53" s="401">
        <v>4.6</v>
      </c>
      <c r="G53" s="401">
        <f t="shared" si="0"/>
        <v>632.4194999999999</v>
      </c>
      <c r="H53" s="401">
        <f>G53*'Тарифные ставки'!$B$13</f>
        <v>1631.6423099999997</v>
      </c>
      <c r="I53" s="401">
        <f>H53*'Тарифные ставки'!$B$14*'Тарифные ставки'!$B$15</f>
        <v>1977.5504797199997</v>
      </c>
      <c r="J53" s="401">
        <f>I53-I53/'Тарифные ставки'!$B$15</f>
        <v>329.59174661999987</v>
      </c>
      <c r="K53" s="464">
        <v>1654.2951480000002</v>
      </c>
      <c r="L53" s="464">
        <f t="shared" si="1"/>
        <v>19.540366307113132</v>
      </c>
      <c r="M53" s="283">
        <v>4411</v>
      </c>
      <c r="N53" s="358">
        <f t="shared" si="2"/>
        <v>223.05372455648015</v>
      </c>
    </row>
    <row r="54" spans="1:14" ht="68.25" customHeight="1">
      <c r="A54" s="60" t="s">
        <v>1044</v>
      </c>
      <c r="B54" s="292" t="s">
        <v>2445</v>
      </c>
      <c r="C54" s="359" t="s">
        <v>75</v>
      </c>
      <c r="D54" s="375" t="s">
        <v>2312</v>
      </c>
      <c r="E54" s="398">
        <f>'Тарифные ставки'!$B$5</f>
        <v>137.4825</v>
      </c>
      <c r="F54" s="401">
        <v>7.92</v>
      </c>
      <c r="G54" s="401">
        <f t="shared" si="0"/>
        <v>1088.8614</v>
      </c>
      <c r="H54" s="401">
        <f>G54*'Тарифные ставки'!$B$13</f>
        <v>2809.262412</v>
      </c>
      <c r="I54" s="401">
        <f>H54*'Тарифные ставки'!$B$14*'Тарифные ставки'!$B$15</f>
        <v>3404.826043344</v>
      </c>
      <c r="J54" s="401">
        <f>I54-I54/'Тарифные ставки'!$B$15</f>
        <v>567.471007224</v>
      </c>
      <c r="K54" s="464">
        <v>2848.2646896</v>
      </c>
      <c r="L54" s="464">
        <f t="shared" si="1"/>
        <v>19.540366307113175</v>
      </c>
      <c r="M54" s="283">
        <v>7594</v>
      </c>
      <c r="N54" s="358">
        <f t="shared" si="2"/>
        <v>223.03635790278628</v>
      </c>
    </row>
    <row r="55" spans="1:14" ht="63" hidden="1">
      <c r="A55" s="459" t="s">
        <v>83</v>
      </c>
      <c r="B55" s="371" t="s">
        <v>82</v>
      </c>
      <c r="C55" s="371" t="s">
        <v>77</v>
      </c>
      <c r="D55" s="371" t="s">
        <v>81</v>
      </c>
      <c r="E55" s="467" t="s">
        <v>85</v>
      </c>
      <c r="F55" s="468" t="s">
        <v>78</v>
      </c>
      <c r="G55" s="468" t="s">
        <v>79</v>
      </c>
      <c r="H55" s="468" t="s">
        <v>80</v>
      </c>
      <c r="I55" s="469" t="s">
        <v>843</v>
      </c>
      <c r="J55" s="469" t="s">
        <v>2349</v>
      </c>
      <c r="K55" s="465"/>
      <c r="L55" s="465"/>
      <c r="N55" s="358"/>
    </row>
    <row r="56" spans="1:14" ht="69" customHeight="1">
      <c r="A56" s="60" t="s">
        <v>1045</v>
      </c>
      <c r="B56" s="292" t="s">
        <v>2446</v>
      </c>
      <c r="C56" s="359" t="s">
        <v>75</v>
      </c>
      <c r="D56" s="375" t="s">
        <v>2312</v>
      </c>
      <c r="E56" s="398">
        <f>'Тарифные ставки'!$B$5</f>
        <v>137.4825</v>
      </c>
      <c r="F56" s="401">
        <v>9.7</v>
      </c>
      <c r="G56" s="401">
        <f t="shared" si="0"/>
        <v>1333.5802499999998</v>
      </c>
      <c r="H56" s="401">
        <f>G56*'Тарифные ставки'!$B$13</f>
        <v>3440.6370449999995</v>
      </c>
      <c r="I56" s="401">
        <f>H56*'Тарифные ставки'!$B$14*'Тарифные ставки'!$B$15</f>
        <v>4170.052098539999</v>
      </c>
      <c r="J56" s="401">
        <f>I56-I56/'Тарифные ставки'!$B$15</f>
        <v>695.0086830899995</v>
      </c>
      <c r="K56" s="464">
        <v>3488.404986</v>
      </c>
      <c r="L56" s="464">
        <f t="shared" si="1"/>
        <v>19.540366307113132</v>
      </c>
      <c r="M56" s="283">
        <v>9301</v>
      </c>
      <c r="N56" s="358">
        <f t="shared" si="2"/>
        <v>223.04277692972772</v>
      </c>
    </row>
    <row r="57" spans="1:14" ht="47.25">
      <c r="A57" s="60" t="s">
        <v>1046</v>
      </c>
      <c r="B57" s="292" t="s">
        <v>2447</v>
      </c>
      <c r="C57" s="359" t="s">
        <v>75</v>
      </c>
      <c r="D57" s="375" t="s">
        <v>2312</v>
      </c>
      <c r="E57" s="398">
        <f>'Тарифные ставки'!$B$5</f>
        <v>137.4825</v>
      </c>
      <c r="F57" s="401">
        <v>15.8</v>
      </c>
      <c r="G57" s="401">
        <f t="shared" si="0"/>
        <v>2172.2235</v>
      </c>
      <c r="H57" s="401">
        <f>G57*'Тарифные ставки'!$B$13</f>
        <v>5604.336630000001</v>
      </c>
      <c r="I57" s="401">
        <f>H57*'Тарифные ставки'!$B$14*'Тарифные ставки'!$B$15</f>
        <v>6792.455995560001</v>
      </c>
      <c r="J57" s="401">
        <f>I57-I57/'Тарифные ставки'!$B$15</f>
        <v>1132.0759992599997</v>
      </c>
      <c r="K57" s="464">
        <v>5682.144204000001</v>
      </c>
      <c r="L57" s="464">
        <f t="shared" si="1"/>
        <v>19.54036630711316</v>
      </c>
      <c r="M57" s="283">
        <v>15153</v>
      </c>
      <c r="N57" s="358">
        <f t="shared" si="2"/>
        <v>223.0857293724833</v>
      </c>
    </row>
    <row r="58" spans="1:14" ht="47.25">
      <c r="A58" s="60" t="s">
        <v>1047</v>
      </c>
      <c r="B58" s="460" t="s">
        <v>1367</v>
      </c>
      <c r="C58" s="359" t="s">
        <v>1052</v>
      </c>
      <c r="D58" s="375" t="s">
        <v>2312</v>
      </c>
      <c r="E58" s="398">
        <f>'Тарифные ставки'!$B$5</f>
        <v>137.4825</v>
      </c>
      <c r="F58" s="401">
        <v>2.4</v>
      </c>
      <c r="G58" s="401">
        <f t="shared" si="0"/>
        <v>329.95799999999997</v>
      </c>
      <c r="H58" s="401">
        <f>G58*'Тарифные ставки'!$B$13</f>
        <v>851.2916399999999</v>
      </c>
      <c r="I58" s="401">
        <f>H58*'Тарифные ставки'!$B$14*'Тарифные ставки'!$B$15</f>
        <v>1031.7654676799998</v>
      </c>
      <c r="J58" s="401">
        <f>I58-I58/'Тарифные ставки'!$B$15</f>
        <v>171.9609112799999</v>
      </c>
      <c r="K58" s="464">
        <v>863.1105120000002</v>
      </c>
      <c r="L58" s="464">
        <f t="shared" si="1"/>
        <v>19.540366307113132</v>
      </c>
      <c r="M58" s="283">
        <v>2301</v>
      </c>
      <c r="N58" s="358">
        <f t="shared" si="2"/>
        <v>223.01579884951636</v>
      </c>
    </row>
    <row r="59" spans="1:14" ht="15.75">
      <c r="A59" s="98" t="s">
        <v>1048</v>
      </c>
      <c r="B59" s="292" t="s">
        <v>1028</v>
      </c>
      <c r="C59" s="359" t="s">
        <v>1052</v>
      </c>
      <c r="D59" s="375" t="s">
        <v>2312</v>
      </c>
      <c r="E59" s="398">
        <f>'Тарифные ставки'!$B$5</f>
        <v>137.4825</v>
      </c>
      <c r="F59" s="401">
        <v>3.3</v>
      </c>
      <c r="G59" s="401">
        <f t="shared" si="0"/>
        <v>453.69224999999994</v>
      </c>
      <c r="H59" s="401">
        <f>G59*'Тарифные ставки'!$B$13</f>
        <v>1170.526005</v>
      </c>
      <c r="I59" s="401">
        <f>H59*'Тарифные ставки'!$B$14*'Тарифные ставки'!$B$15</f>
        <v>1418.67751806</v>
      </c>
      <c r="J59" s="401">
        <f>I59-I59/'Тарифные ставки'!$B$15</f>
        <v>236.44625300999996</v>
      </c>
      <c r="K59" s="464">
        <v>1186.7769540000002</v>
      </c>
      <c r="L59" s="464">
        <f t="shared" si="1"/>
        <v>19.54036630711316</v>
      </c>
      <c r="M59" s="283">
        <v>3166</v>
      </c>
      <c r="N59" s="358">
        <f t="shared" si="2"/>
        <v>223.1655862376259</v>
      </c>
    </row>
    <row r="60" spans="1:14" ht="15.75">
      <c r="A60" s="60" t="s">
        <v>1049</v>
      </c>
      <c r="B60" s="292" t="s">
        <v>1029</v>
      </c>
      <c r="C60" s="359" t="s">
        <v>1052</v>
      </c>
      <c r="D60" s="375" t="s">
        <v>2312</v>
      </c>
      <c r="E60" s="398">
        <f>'Тарифные ставки'!$B$5</f>
        <v>137.4825</v>
      </c>
      <c r="F60" s="401">
        <v>4.18</v>
      </c>
      <c r="G60" s="401">
        <f t="shared" si="0"/>
        <v>574.67685</v>
      </c>
      <c r="H60" s="401">
        <f>G60*'Тарифные ставки'!$B$13</f>
        <v>1482.6662729999998</v>
      </c>
      <c r="I60" s="401">
        <f>H60*'Тарифные ставки'!$B$14*'Тарифные ставки'!$B$15</f>
        <v>1796.9915228759996</v>
      </c>
      <c r="J60" s="401">
        <f>I60-I60/'Тарифные ставки'!$B$15</f>
        <v>299.49858714599986</v>
      </c>
      <c r="K60" s="464">
        <v>1503.2508084</v>
      </c>
      <c r="L60" s="464">
        <f t="shared" si="1"/>
        <v>19.540366307113132</v>
      </c>
      <c r="M60" s="283">
        <v>4008</v>
      </c>
      <c r="N60" s="358">
        <f t="shared" si="2"/>
        <v>223.03944948974416</v>
      </c>
    </row>
    <row r="61" spans="1:14" ht="63">
      <c r="A61" s="459" t="s">
        <v>83</v>
      </c>
      <c r="B61" s="371" t="s">
        <v>82</v>
      </c>
      <c r="C61" s="371" t="s">
        <v>77</v>
      </c>
      <c r="D61" s="371" t="s">
        <v>81</v>
      </c>
      <c r="E61" s="372" t="s">
        <v>85</v>
      </c>
      <c r="F61" s="372" t="s">
        <v>78</v>
      </c>
      <c r="G61" s="372" t="s">
        <v>79</v>
      </c>
      <c r="H61" s="372" t="s">
        <v>80</v>
      </c>
      <c r="I61" s="371" t="s">
        <v>843</v>
      </c>
      <c r="J61" s="371" t="s">
        <v>2349</v>
      </c>
      <c r="K61" s="464"/>
      <c r="L61" s="464"/>
      <c r="M61" s="283"/>
      <c r="N61" s="358"/>
    </row>
    <row r="62" spans="1:14" ht="15.75">
      <c r="A62" s="98" t="s">
        <v>1050</v>
      </c>
      <c r="B62" s="292" t="s">
        <v>1030</v>
      </c>
      <c r="C62" s="359" t="s">
        <v>1052</v>
      </c>
      <c r="D62" s="375" t="s">
        <v>2312</v>
      </c>
      <c r="E62" s="398">
        <f>'Тарифные ставки'!$B$5</f>
        <v>137.4825</v>
      </c>
      <c r="F62" s="401">
        <v>5.1</v>
      </c>
      <c r="G62" s="401">
        <f t="shared" si="0"/>
        <v>701.1607499999999</v>
      </c>
      <c r="H62" s="401">
        <f>G62*'Тарифные ставки'!$B$13</f>
        <v>1808.9947349999998</v>
      </c>
      <c r="I62" s="401">
        <f>H62*'Тарифные ставки'!$B$14*'Тарифные ставки'!$B$15</f>
        <v>2192.5016188199997</v>
      </c>
      <c r="J62" s="401">
        <f>I62-I62/'Тарифные ставки'!$B$15</f>
        <v>365.4169364699999</v>
      </c>
      <c r="K62" s="464">
        <v>1834.1098379999999</v>
      </c>
      <c r="L62" s="464">
        <f t="shared" si="1"/>
        <v>19.540366307113175</v>
      </c>
      <c r="M62" s="283">
        <v>4892</v>
      </c>
      <c r="N62" s="358">
        <f t="shared" si="2"/>
        <v>223.12412260077897</v>
      </c>
    </row>
    <row r="63" spans="1:14" ht="47.25">
      <c r="A63" s="60" t="s">
        <v>1051</v>
      </c>
      <c r="B63" s="292" t="s">
        <v>1709</v>
      </c>
      <c r="C63" s="359" t="s">
        <v>1052</v>
      </c>
      <c r="D63" s="375" t="s">
        <v>2312</v>
      </c>
      <c r="E63" s="398">
        <f>'Тарифные ставки'!$B$5</f>
        <v>137.4825</v>
      </c>
      <c r="F63" s="401">
        <v>5.25</v>
      </c>
      <c r="G63" s="401">
        <f t="shared" si="0"/>
        <v>721.7831249999999</v>
      </c>
      <c r="H63" s="401">
        <f>G63*'Тарифные ставки'!$B$13</f>
        <v>1862.2004625</v>
      </c>
      <c r="I63" s="401">
        <f>H63*'Тарифные ставки'!$B$14*'Тарифные ставки'!$B$15</f>
        <v>2256.98696055</v>
      </c>
      <c r="J63" s="401">
        <f>I63-I63/'Тарифные ставки'!$B$15</f>
        <v>376.1644934249998</v>
      </c>
      <c r="K63" s="464">
        <v>1888.0542450000003</v>
      </c>
      <c r="L63" s="464">
        <f>I63/K63*100-100</f>
        <v>19.54036630711316</v>
      </c>
      <c r="M63" s="283">
        <v>5036</v>
      </c>
      <c r="N63" s="358">
        <f>M63/I63*100</f>
        <v>223.1293351722683</v>
      </c>
    </row>
    <row r="64" spans="1:14" ht="27.75" customHeight="1">
      <c r="A64" s="60" t="s">
        <v>743</v>
      </c>
      <c r="B64" s="292" t="s">
        <v>1710</v>
      </c>
      <c r="C64" s="359" t="s">
        <v>1052</v>
      </c>
      <c r="D64" s="375" t="s">
        <v>2312</v>
      </c>
      <c r="E64" s="398">
        <f>'Тарифные ставки'!$B$5</f>
        <v>137.4825</v>
      </c>
      <c r="F64" s="401">
        <v>5.7</v>
      </c>
      <c r="G64" s="401">
        <f>E64*F64</f>
        <v>783.6502499999999</v>
      </c>
      <c r="H64" s="401">
        <f>G64*'Тарифные ставки'!$B$13</f>
        <v>2021.8176449999999</v>
      </c>
      <c r="I64" s="401">
        <f>H64*'Тарифные ставки'!$B$14*'Тарифные ставки'!$B$15</f>
        <v>2450.44298574</v>
      </c>
      <c r="J64" s="401">
        <f>I64-I64/'Тарифные ставки'!$B$15</f>
        <v>408.40716428999986</v>
      </c>
      <c r="K64" s="464">
        <v>2049.887466</v>
      </c>
      <c r="L64" s="464">
        <f>I64/K64*100-100</f>
        <v>19.540366307113175</v>
      </c>
      <c r="M64" s="283">
        <v>5465</v>
      </c>
      <c r="N64" s="358">
        <f>M64/I64*100</f>
        <v>223.02089996799683</v>
      </c>
    </row>
  </sheetData>
  <sheetProtection/>
  <autoFilter ref="A4:I64"/>
  <mergeCells count="14">
    <mergeCell ref="A1:J1"/>
    <mergeCell ref="A2:J2"/>
    <mergeCell ref="B16:B17"/>
    <mergeCell ref="B18:B19"/>
    <mergeCell ref="B32:B33"/>
    <mergeCell ref="B35:B36"/>
    <mergeCell ref="B13:B14"/>
    <mergeCell ref="B37:B38"/>
    <mergeCell ref="B20:B21"/>
    <mergeCell ref="B23:B24"/>
    <mergeCell ref="B26:B27"/>
    <mergeCell ref="B29:B30"/>
    <mergeCell ref="B8:B9"/>
    <mergeCell ref="B11:B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7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E52" sqref="E52"/>
      <selection pane="bottomLeft" activeCell="A23" sqref="A23"/>
    </sheetView>
  </sheetViews>
  <sheetFormatPr defaultColWidth="9.00390625" defaultRowHeight="12.75"/>
  <cols>
    <col min="1" max="1" width="8.25390625" style="3" customWidth="1"/>
    <col min="2" max="2" width="71.125" style="6" customWidth="1"/>
    <col min="3" max="3" width="11.25390625" style="62" customWidth="1"/>
    <col min="4" max="4" width="11.375" style="3" hidden="1" customWidth="1"/>
    <col min="5" max="5" width="11.625" style="3" hidden="1" customWidth="1"/>
    <col min="6" max="7" width="13.125" style="3" hidden="1" customWidth="1"/>
    <col min="8" max="8" width="13.75390625" style="3" hidden="1" customWidth="1"/>
    <col min="9" max="9" width="14.625" style="3" customWidth="1"/>
    <col min="10" max="10" width="13.875" style="3" customWidth="1"/>
    <col min="11" max="11" width="15.125" style="3" hidden="1" customWidth="1"/>
    <col min="12" max="12" width="11.625" style="3" hidden="1" customWidth="1"/>
    <col min="13" max="13" width="0" style="3" hidden="1" customWidth="1"/>
    <col min="14" max="16384" width="9.125" style="3" customWidth="1"/>
  </cols>
  <sheetData>
    <row r="1" spans="1:10" s="2" customFormat="1" ht="15.75">
      <c r="A1" s="604" t="s">
        <v>429</v>
      </c>
      <c r="B1" s="604"/>
      <c r="C1" s="604"/>
      <c r="D1" s="604"/>
      <c r="E1" s="604"/>
      <c r="F1" s="604"/>
      <c r="G1" s="604"/>
      <c r="H1" s="604"/>
      <c r="I1" s="604"/>
      <c r="J1" s="604"/>
    </row>
    <row r="3" spans="1:255" ht="15.75">
      <c r="A3" s="604" t="s">
        <v>692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  <c r="BH3" s="604"/>
      <c r="BI3" s="604"/>
      <c r="BJ3" s="604"/>
      <c r="BK3" s="604"/>
      <c r="BL3" s="604"/>
      <c r="BM3" s="604"/>
      <c r="BN3" s="604"/>
      <c r="BO3" s="604"/>
      <c r="BP3" s="604"/>
      <c r="BQ3" s="604"/>
      <c r="BR3" s="604"/>
      <c r="BS3" s="604"/>
      <c r="BT3" s="604"/>
      <c r="BU3" s="604"/>
      <c r="BV3" s="604"/>
      <c r="BW3" s="604"/>
      <c r="BX3" s="604"/>
      <c r="BY3" s="604"/>
      <c r="BZ3" s="604"/>
      <c r="CA3" s="604"/>
      <c r="CB3" s="604"/>
      <c r="CC3" s="604"/>
      <c r="CD3" s="604"/>
      <c r="CE3" s="604"/>
      <c r="CF3" s="604"/>
      <c r="CG3" s="604"/>
      <c r="CH3" s="604"/>
      <c r="CI3" s="604"/>
      <c r="CJ3" s="604"/>
      <c r="CK3" s="604"/>
      <c r="CL3" s="604"/>
      <c r="CM3" s="604"/>
      <c r="CN3" s="604"/>
      <c r="CO3" s="604"/>
      <c r="CP3" s="604"/>
      <c r="CQ3" s="604"/>
      <c r="CR3" s="604"/>
      <c r="CS3" s="604"/>
      <c r="CT3" s="604"/>
      <c r="CU3" s="604"/>
      <c r="CV3" s="604"/>
      <c r="CW3" s="604"/>
      <c r="CX3" s="604"/>
      <c r="CY3" s="604"/>
      <c r="CZ3" s="604"/>
      <c r="DA3" s="604"/>
      <c r="DB3" s="604"/>
      <c r="DC3" s="604"/>
      <c r="DD3" s="604"/>
      <c r="DE3" s="604"/>
      <c r="DF3" s="604"/>
      <c r="DG3" s="604"/>
      <c r="DH3" s="604"/>
      <c r="DI3" s="604"/>
      <c r="DJ3" s="604"/>
      <c r="DK3" s="604"/>
      <c r="DL3" s="604"/>
      <c r="DM3" s="604"/>
      <c r="DN3" s="604"/>
      <c r="DO3" s="604"/>
      <c r="DP3" s="604"/>
      <c r="DQ3" s="604"/>
      <c r="DR3" s="604"/>
      <c r="DS3" s="604"/>
      <c r="DT3" s="604"/>
      <c r="DU3" s="604"/>
      <c r="DV3" s="604"/>
      <c r="DW3" s="604"/>
      <c r="DX3" s="604"/>
      <c r="DY3" s="604"/>
      <c r="DZ3" s="604"/>
      <c r="EA3" s="604"/>
      <c r="EB3" s="604"/>
      <c r="EC3" s="604"/>
      <c r="ED3" s="604"/>
      <c r="EE3" s="604"/>
      <c r="EF3" s="604"/>
      <c r="EG3" s="604"/>
      <c r="EH3" s="604"/>
      <c r="EI3" s="604"/>
      <c r="EJ3" s="604"/>
      <c r="EK3" s="604"/>
      <c r="EL3" s="604"/>
      <c r="EM3" s="604"/>
      <c r="EN3" s="604"/>
      <c r="EO3" s="604"/>
      <c r="EP3" s="604"/>
      <c r="EQ3" s="604"/>
      <c r="ER3" s="604"/>
      <c r="ES3" s="604"/>
      <c r="ET3" s="604"/>
      <c r="EU3" s="604"/>
      <c r="EV3" s="604"/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4"/>
      <c r="FL3" s="604"/>
      <c r="FM3" s="604"/>
      <c r="FN3" s="604"/>
      <c r="FO3" s="604"/>
      <c r="FP3" s="604"/>
      <c r="FQ3" s="604"/>
      <c r="FR3" s="604"/>
      <c r="FS3" s="604"/>
      <c r="FT3" s="604"/>
      <c r="FU3" s="604"/>
      <c r="FV3" s="604"/>
      <c r="FW3" s="604"/>
      <c r="FX3" s="604"/>
      <c r="FY3" s="604"/>
      <c r="FZ3" s="604"/>
      <c r="GA3" s="604"/>
      <c r="GB3" s="604"/>
      <c r="GC3" s="604"/>
      <c r="GD3" s="604"/>
      <c r="GE3" s="604"/>
      <c r="GF3" s="604"/>
      <c r="GG3" s="604"/>
      <c r="GH3" s="604"/>
      <c r="GI3" s="604"/>
      <c r="GJ3" s="604"/>
      <c r="GK3" s="604"/>
      <c r="GL3" s="604"/>
      <c r="GM3" s="604"/>
      <c r="GN3" s="604"/>
      <c r="GO3" s="604"/>
      <c r="GP3" s="604"/>
      <c r="GQ3" s="604"/>
      <c r="GR3" s="604"/>
      <c r="GS3" s="604"/>
      <c r="GT3" s="604"/>
      <c r="GU3" s="604"/>
      <c r="GV3" s="604"/>
      <c r="GW3" s="604"/>
      <c r="GX3" s="604"/>
      <c r="GY3" s="604"/>
      <c r="GZ3" s="604"/>
      <c r="HA3" s="604"/>
      <c r="HB3" s="604"/>
      <c r="HC3" s="604"/>
      <c r="HD3" s="604"/>
      <c r="HE3" s="604"/>
      <c r="HF3" s="604"/>
      <c r="HG3" s="604"/>
      <c r="HH3" s="604"/>
      <c r="HI3" s="604"/>
      <c r="HJ3" s="604"/>
      <c r="HK3" s="604"/>
      <c r="HL3" s="604"/>
      <c r="HM3" s="604"/>
      <c r="HN3" s="604"/>
      <c r="HO3" s="604"/>
      <c r="HP3" s="604"/>
      <c r="HQ3" s="604"/>
      <c r="HR3" s="604"/>
      <c r="HS3" s="604"/>
      <c r="HT3" s="604"/>
      <c r="HU3" s="604"/>
      <c r="HV3" s="604"/>
      <c r="HW3" s="604"/>
      <c r="HX3" s="604"/>
      <c r="HY3" s="604"/>
      <c r="HZ3" s="604"/>
      <c r="IA3" s="604"/>
      <c r="IB3" s="604"/>
      <c r="IC3" s="604"/>
      <c r="ID3" s="604"/>
      <c r="IE3" s="604"/>
      <c r="IF3" s="604"/>
      <c r="IG3" s="604"/>
      <c r="IH3" s="604"/>
      <c r="II3" s="604"/>
      <c r="IJ3" s="604"/>
      <c r="IK3" s="604"/>
      <c r="IL3" s="604"/>
      <c r="IM3" s="604"/>
      <c r="IN3" s="604"/>
      <c r="IO3" s="604"/>
      <c r="IP3" s="604"/>
      <c r="IQ3" s="604"/>
      <c r="IR3" s="604"/>
      <c r="IS3" s="604"/>
      <c r="IT3" s="604"/>
      <c r="IU3" s="604"/>
    </row>
    <row r="4" spans="1:10" ht="15.75">
      <c r="A4" s="604" t="s">
        <v>693</v>
      </c>
      <c r="B4" s="604"/>
      <c r="C4" s="604"/>
      <c r="D4" s="604"/>
      <c r="E4" s="604"/>
      <c r="F4" s="604"/>
      <c r="G4" s="604"/>
      <c r="H4" s="604"/>
      <c r="I4" s="604"/>
      <c r="J4" s="604"/>
    </row>
    <row r="6" spans="1:12" ht="63">
      <c r="A6" s="328" t="s">
        <v>83</v>
      </c>
      <c r="B6" s="313" t="s">
        <v>82</v>
      </c>
      <c r="C6" s="313" t="s">
        <v>77</v>
      </c>
      <c r="D6" s="313" t="s">
        <v>81</v>
      </c>
      <c r="E6" s="314" t="s">
        <v>85</v>
      </c>
      <c r="F6" s="314" t="s">
        <v>78</v>
      </c>
      <c r="G6" s="314" t="s">
        <v>79</v>
      </c>
      <c r="H6" s="314" t="s">
        <v>80</v>
      </c>
      <c r="I6" s="313" t="s">
        <v>843</v>
      </c>
      <c r="J6" s="313" t="s">
        <v>2349</v>
      </c>
      <c r="K6" s="387" t="s">
        <v>2386</v>
      </c>
      <c r="L6" s="388" t="s">
        <v>2385</v>
      </c>
    </row>
    <row r="7" spans="1:12" ht="47.25">
      <c r="A7" s="60" t="s">
        <v>1811</v>
      </c>
      <c r="B7" s="61" t="s">
        <v>1346</v>
      </c>
      <c r="C7" s="430" t="s">
        <v>1812</v>
      </c>
      <c r="D7" s="470" t="s">
        <v>1368</v>
      </c>
      <c r="E7" s="471">
        <f>'Тарифные ставки'!$B$7</f>
        <v>455.79099999999994</v>
      </c>
      <c r="F7" s="472">
        <v>15</v>
      </c>
      <c r="G7" s="472">
        <f>E7*F7</f>
        <v>6836.864999999999</v>
      </c>
      <c r="H7" s="472">
        <f>G7*'Тарифные ставки'!$B$13</f>
        <v>17639.111699999998</v>
      </c>
      <c r="I7" s="472">
        <f>H7*'Тарифные ставки'!$B$14*'Тарифные ставки'!$B$15</f>
        <v>21378.603380399996</v>
      </c>
      <c r="J7" s="401">
        <f>I7-I7/'Тарифные ставки'!$B$15</f>
        <v>3563.1005633999994</v>
      </c>
      <c r="K7" s="465">
        <v>24722.928562499997</v>
      </c>
      <c r="L7" s="464">
        <f>I7/K7*100-100</f>
        <v>-13.527220991014431</v>
      </c>
    </row>
    <row r="8" spans="1:12" ht="31.5">
      <c r="A8" s="60" t="s">
        <v>1813</v>
      </c>
      <c r="B8" s="61" t="s">
        <v>100</v>
      </c>
      <c r="C8" s="430" t="s">
        <v>1812</v>
      </c>
      <c r="D8" s="470" t="s">
        <v>1368</v>
      </c>
      <c r="E8" s="471">
        <f>'Тарифные ставки'!$B$7</f>
        <v>455.79099999999994</v>
      </c>
      <c r="F8" s="472">
        <v>5</v>
      </c>
      <c r="G8" s="472">
        <f>E8*F8</f>
        <v>2278.955</v>
      </c>
      <c r="H8" s="472">
        <f>G8*'Тарифные ставки'!$B$13</f>
        <v>5879.7038999999995</v>
      </c>
      <c r="I8" s="472">
        <f>H8*'Тарифные ставки'!$B$14*'Тарифные ставки'!$B$15</f>
        <v>7126.2011268</v>
      </c>
      <c r="J8" s="401">
        <f>I8-I8/'Тарифные ставки'!$B$15</f>
        <v>1187.7001878</v>
      </c>
      <c r="K8" s="465">
        <v>8240.9761875</v>
      </c>
      <c r="L8" s="464">
        <f aca="true" t="shared" si="0" ref="L8:L29">I8/K8*100-100</f>
        <v>-13.527220991014431</v>
      </c>
    </row>
    <row r="9" spans="1:12" ht="31.5">
      <c r="A9" s="60" t="s">
        <v>1814</v>
      </c>
      <c r="B9" s="61" t="s">
        <v>681</v>
      </c>
      <c r="C9" s="430" t="s">
        <v>1816</v>
      </c>
      <c r="D9" s="470" t="s">
        <v>1368</v>
      </c>
      <c r="E9" s="471">
        <f>'Тарифные ставки'!$B$7</f>
        <v>455.79099999999994</v>
      </c>
      <c r="F9" s="472">
        <v>4.5</v>
      </c>
      <c r="G9" s="472">
        <f>E9*F9</f>
        <v>2051.0595</v>
      </c>
      <c r="H9" s="472">
        <f>G9*'Тарифные ставки'!$B$13</f>
        <v>5291.73351</v>
      </c>
      <c r="I9" s="472">
        <f>H9*'Тарифные ставки'!$B$14*'Тарифные ставки'!$B$15</f>
        <v>6413.58101412</v>
      </c>
      <c r="J9" s="401">
        <f>I9-I9/'Тарифные ставки'!$B$15</f>
        <v>1068.93016902</v>
      </c>
      <c r="K9" s="465">
        <v>7416.878568749999</v>
      </c>
      <c r="L9" s="464">
        <f t="shared" si="0"/>
        <v>-13.527220991014417</v>
      </c>
    </row>
    <row r="10" spans="1:12" ht="47.25" hidden="1">
      <c r="A10" s="60" t="s">
        <v>1815</v>
      </c>
      <c r="B10" s="61" t="s">
        <v>682</v>
      </c>
      <c r="C10" s="430" t="s">
        <v>75</v>
      </c>
      <c r="D10" s="470" t="s">
        <v>1368</v>
      </c>
      <c r="E10" s="471">
        <v>323.89</v>
      </c>
      <c r="F10" s="472">
        <v>10</v>
      </c>
      <c r="G10" s="472">
        <f aca="true" t="shared" si="1" ref="G10:G25">E10*F10</f>
        <v>3238.8999999999996</v>
      </c>
      <c r="H10" s="472">
        <f>G10*'Тарифные ставки'!$B$13</f>
        <v>8356.362</v>
      </c>
      <c r="I10" s="472">
        <f>H10*'Тарифные ставки'!$B$14*'Тарифные ставки'!$B$15</f>
        <v>10127.910743999999</v>
      </c>
      <c r="J10" s="472"/>
      <c r="K10" s="465">
        <v>16481.952375</v>
      </c>
      <c r="L10" s="464">
        <f t="shared" si="0"/>
        <v>-38.55151068533531</v>
      </c>
    </row>
    <row r="11" spans="1:12" ht="47.25" hidden="1">
      <c r="A11" s="60" t="s">
        <v>1817</v>
      </c>
      <c r="B11" s="61" t="s">
        <v>683</v>
      </c>
      <c r="C11" s="430" t="s">
        <v>75</v>
      </c>
      <c r="D11" s="470" t="s">
        <v>1368</v>
      </c>
      <c r="E11" s="471">
        <v>323.89</v>
      </c>
      <c r="F11" s="472">
        <v>5</v>
      </c>
      <c r="G11" s="472">
        <f t="shared" si="1"/>
        <v>1619.4499999999998</v>
      </c>
      <c r="H11" s="472">
        <f>G11*'Тарифные ставки'!$B$13</f>
        <v>4178.181</v>
      </c>
      <c r="I11" s="472">
        <f>H11*'Тарифные ставки'!$B$14*'Тарифные ставки'!$B$15</f>
        <v>5063.955371999999</v>
      </c>
      <c r="J11" s="472"/>
      <c r="K11" s="465">
        <v>8240.9761875</v>
      </c>
      <c r="L11" s="464">
        <f t="shared" si="0"/>
        <v>-38.55151068533531</v>
      </c>
    </row>
    <row r="12" spans="1:12" ht="31.5">
      <c r="A12" s="60" t="s">
        <v>2041</v>
      </c>
      <c r="B12" s="61" t="s">
        <v>684</v>
      </c>
      <c r="C12" s="430" t="s">
        <v>75</v>
      </c>
      <c r="D12" s="470" t="s">
        <v>1368</v>
      </c>
      <c r="E12" s="471">
        <f>'Тарифные ставки'!$B$7</f>
        <v>455.79099999999994</v>
      </c>
      <c r="F12" s="472">
        <v>3</v>
      </c>
      <c r="G12" s="472">
        <f t="shared" si="1"/>
        <v>1367.3729999999998</v>
      </c>
      <c r="H12" s="472">
        <f>G12*'Тарифные ставки'!$B$13</f>
        <v>3527.8223399999997</v>
      </c>
      <c r="I12" s="472">
        <f>H12*'Тарифные ставки'!$B$14*'Тарифные ставки'!$B$15</f>
        <v>4275.72067608</v>
      </c>
      <c r="J12" s="401">
        <f>I12-I12/'Тарифные ставки'!$B$15</f>
        <v>712.6201126799997</v>
      </c>
      <c r="K12" s="465">
        <v>4944.585712499999</v>
      </c>
      <c r="L12" s="464">
        <f t="shared" si="0"/>
        <v>-13.527220991014417</v>
      </c>
    </row>
    <row r="13" spans="1:12" ht="47.25" hidden="1">
      <c r="A13" s="60" t="s">
        <v>2042</v>
      </c>
      <c r="B13" s="61" t="s">
        <v>1561</v>
      </c>
      <c r="C13" s="430" t="s">
        <v>75</v>
      </c>
      <c r="D13" s="470" t="s">
        <v>1368</v>
      </c>
      <c r="E13" s="471">
        <v>323.89</v>
      </c>
      <c r="F13" s="472">
        <v>5</v>
      </c>
      <c r="G13" s="472">
        <f t="shared" si="1"/>
        <v>1619.4499999999998</v>
      </c>
      <c r="H13" s="472">
        <f>G13*'Тарифные ставки'!$B$13</f>
        <v>4178.181</v>
      </c>
      <c r="I13" s="472">
        <f>H13*'Тарифные ставки'!$B$14*'Тарифные ставки'!$B$15</f>
        <v>5063.955371999999</v>
      </c>
      <c r="J13" s="472"/>
      <c r="K13" s="465">
        <v>8240.9761875</v>
      </c>
      <c r="L13" s="464">
        <f t="shared" si="0"/>
        <v>-38.55151068533531</v>
      </c>
    </row>
    <row r="14" spans="1:12" ht="47.25" hidden="1">
      <c r="A14" s="60" t="s">
        <v>1562</v>
      </c>
      <c r="B14" s="61" t="s">
        <v>1563</v>
      </c>
      <c r="C14" s="430" t="s">
        <v>75</v>
      </c>
      <c r="D14" s="470" t="s">
        <v>1368</v>
      </c>
      <c r="E14" s="471">
        <v>323.89</v>
      </c>
      <c r="F14" s="472">
        <v>8</v>
      </c>
      <c r="G14" s="472">
        <f t="shared" si="1"/>
        <v>2591.12</v>
      </c>
      <c r="H14" s="472">
        <f>G14*'Тарифные ставки'!$B$13</f>
        <v>6685.0896</v>
      </c>
      <c r="I14" s="472">
        <f>H14*'Тарифные ставки'!$B$14*'Тарифные ставки'!$B$15</f>
        <v>8102.3285952</v>
      </c>
      <c r="J14" s="472"/>
      <c r="K14" s="465">
        <v>13185.561899999999</v>
      </c>
      <c r="L14" s="464">
        <f t="shared" si="0"/>
        <v>-38.5515106853353</v>
      </c>
    </row>
    <row r="15" spans="1:12" ht="78.75" hidden="1">
      <c r="A15" s="60" t="s">
        <v>1564</v>
      </c>
      <c r="B15" s="61" t="s">
        <v>685</v>
      </c>
      <c r="C15" s="430" t="s">
        <v>75</v>
      </c>
      <c r="D15" s="470" t="s">
        <v>1368</v>
      </c>
      <c r="E15" s="471">
        <v>323.89</v>
      </c>
      <c r="F15" s="472">
        <v>4</v>
      </c>
      <c r="G15" s="472">
        <f t="shared" si="1"/>
        <v>1295.56</v>
      </c>
      <c r="H15" s="472">
        <f>G15*'Тарифные ставки'!$B$13</f>
        <v>3342.5448</v>
      </c>
      <c r="I15" s="472">
        <f>H15*'Тарифные ставки'!$B$14*'Тарифные ставки'!$B$15</f>
        <v>4051.1642976</v>
      </c>
      <c r="J15" s="472"/>
      <c r="K15" s="465">
        <v>6592.780949999999</v>
      </c>
      <c r="L15" s="464">
        <f t="shared" si="0"/>
        <v>-38.5515106853353</v>
      </c>
    </row>
    <row r="16" spans="1:12" ht="31.5">
      <c r="A16" s="60" t="s">
        <v>1565</v>
      </c>
      <c r="B16" s="61" t="s">
        <v>686</v>
      </c>
      <c r="C16" s="430" t="s">
        <v>75</v>
      </c>
      <c r="D16" s="470" t="s">
        <v>1368</v>
      </c>
      <c r="E16" s="471">
        <f>'Тарифные ставки'!$B$7</f>
        <v>455.79099999999994</v>
      </c>
      <c r="F16" s="472">
        <v>5</v>
      </c>
      <c r="G16" s="472">
        <f t="shared" si="1"/>
        <v>2278.955</v>
      </c>
      <c r="H16" s="472">
        <f>G16*'Тарифные ставки'!$B$13</f>
        <v>5879.7038999999995</v>
      </c>
      <c r="I16" s="472">
        <f>H16*'Тарифные ставки'!$B$14*'Тарифные ставки'!$B$15</f>
        <v>7126.2011268</v>
      </c>
      <c r="J16" s="401">
        <f>I16-I16/'Тарифные ставки'!$B$15</f>
        <v>1187.7001878</v>
      </c>
      <c r="K16" s="465">
        <v>8240.9761875</v>
      </c>
      <c r="L16" s="464">
        <f t="shared" si="0"/>
        <v>-13.527220991014431</v>
      </c>
    </row>
    <row r="17" spans="1:12" ht="47.25">
      <c r="A17" s="60" t="s">
        <v>1566</v>
      </c>
      <c r="B17" s="61" t="s">
        <v>1567</v>
      </c>
      <c r="C17" s="430" t="s">
        <v>75</v>
      </c>
      <c r="D17" s="470" t="s">
        <v>1368</v>
      </c>
      <c r="E17" s="471">
        <f>'Тарифные ставки'!$B$7</f>
        <v>455.79099999999994</v>
      </c>
      <c r="F17" s="472">
        <v>8</v>
      </c>
      <c r="G17" s="472">
        <f t="shared" si="1"/>
        <v>3646.3279999999995</v>
      </c>
      <c r="H17" s="472">
        <f>G17*'Тарифные ставки'!$B$13</f>
        <v>9407.52624</v>
      </c>
      <c r="I17" s="472">
        <f>H17*'Тарифные ставки'!$B$14*'Тарифные ставки'!$B$15</f>
        <v>11401.921802879999</v>
      </c>
      <c r="J17" s="401">
        <f>I17-I17/'Тарифные ставки'!$B$15</f>
        <v>1900.3203004799998</v>
      </c>
      <c r="K17" s="465">
        <v>13185.561899999999</v>
      </c>
      <c r="L17" s="464">
        <f t="shared" si="0"/>
        <v>-13.527220991014417</v>
      </c>
    </row>
    <row r="18" spans="1:12" ht="63">
      <c r="A18" s="60" t="s">
        <v>1568</v>
      </c>
      <c r="B18" s="61" t="s">
        <v>1580</v>
      </c>
      <c r="C18" s="430" t="s">
        <v>75</v>
      </c>
      <c r="D18" s="470" t="s">
        <v>1368</v>
      </c>
      <c r="E18" s="471">
        <f>'Тарифные ставки'!$B$7</f>
        <v>455.79099999999994</v>
      </c>
      <c r="F18" s="472">
        <v>2</v>
      </c>
      <c r="G18" s="472">
        <f t="shared" si="1"/>
        <v>911.5819999999999</v>
      </c>
      <c r="H18" s="472">
        <f>G18*'Тарифные ставки'!$B$13</f>
        <v>2351.88156</v>
      </c>
      <c r="I18" s="472">
        <f>H18*'Тарифные ставки'!$B$14*'Тарифные ставки'!$B$15</f>
        <v>2850.4804507199997</v>
      </c>
      <c r="J18" s="401">
        <f>I18-I18/'Тарифные ставки'!$B$15</f>
        <v>475.08007511999995</v>
      </c>
      <c r="K18" s="465">
        <v>3296.3904749999997</v>
      </c>
      <c r="L18" s="464">
        <f t="shared" si="0"/>
        <v>-13.527220991014417</v>
      </c>
    </row>
    <row r="19" spans="1:12" ht="19.5" customHeight="1">
      <c r="A19" s="60" t="s">
        <v>1569</v>
      </c>
      <c r="B19" s="61" t="s">
        <v>1581</v>
      </c>
      <c r="C19" s="430" t="s">
        <v>76</v>
      </c>
      <c r="D19" s="470" t="s">
        <v>1368</v>
      </c>
      <c r="E19" s="471">
        <f>'Тарифные ставки'!$B$7</f>
        <v>455.79099999999994</v>
      </c>
      <c r="F19" s="472">
        <v>0.6</v>
      </c>
      <c r="G19" s="472">
        <f t="shared" si="1"/>
        <v>273.47459999999995</v>
      </c>
      <c r="H19" s="472">
        <f>G19*'Тарифные ставки'!$B$13</f>
        <v>705.5644679999999</v>
      </c>
      <c r="I19" s="472">
        <f>H19*'Тарифные ставки'!$B$14*'Тарифные ставки'!$B$15</f>
        <v>855.1441352159999</v>
      </c>
      <c r="J19" s="401">
        <f>I19-I19/'Тарифные ставки'!$B$15</f>
        <v>142.52402253599996</v>
      </c>
      <c r="K19" s="465">
        <v>988.9171424999998</v>
      </c>
      <c r="L19" s="464">
        <f t="shared" si="0"/>
        <v>-13.527220991014417</v>
      </c>
    </row>
    <row r="20" spans="1:12" ht="31.5" hidden="1">
      <c r="A20" s="60" t="s">
        <v>1570</v>
      </c>
      <c r="B20" s="61" t="s">
        <v>1582</v>
      </c>
      <c r="C20" s="430" t="s">
        <v>1812</v>
      </c>
      <c r="D20" s="470" t="s">
        <v>1368</v>
      </c>
      <c r="E20" s="471">
        <v>323.89</v>
      </c>
      <c r="F20" s="472">
        <v>1.5</v>
      </c>
      <c r="G20" s="472">
        <f t="shared" si="1"/>
        <v>485.835</v>
      </c>
      <c r="H20" s="472">
        <f>G20*'Тарифные ставки'!$B$13</f>
        <v>1253.4542999999999</v>
      </c>
      <c r="I20" s="472">
        <f>H20*'Тарифные ставки'!$B$14*'Тарифные ставки'!$B$15</f>
        <v>1519.1866115999999</v>
      </c>
      <c r="J20" s="472"/>
      <c r="K20" s="465">
        <v>2472.2928562499997</v>
      </c>
      <c r="L20" s="464">
        <f t="shared" si="0"/>
        <v>-38.5515106853353</v>
      </c>
    </row>
    <row r="21" spans="1:12" ht="47.25">
      <c r="A21" s="60" t="s">
        <v>1571</v>
      </c>
      <c r="B21" s="61" t="s">
        <v>1583</v>
      </c>
      <c r="C21" s="430" t="s">
        <v>75</v>
      </c>
      <c r="D21" s="470" t="s">
        <v>1368</v>
      </c>
      <c r="E21" s="471">
        <f>'Тарифные ставки'!$B$7</f>
        <v>455.79099999999994</v>
      </c>
      <c r="F21" s="472">
        <v>5</v>
      </c>
      <c r="G21" s="472">
        <f t="shared" si="1"/>
        <v>2278.955</v>
      </c>
      <c r="H21" s="472">
        <f>G21*'Тарифные ставки'!$B$13</f>
        <v>5879.7038999999995</v>
      </c>
      <c r="I21" s="472">
        <f>H21*'Тарифные ставки'!$B$14*'Тарифные ставки'!$B$15</f>
        <v>7126.2011268</v>
      </c>
      <c r="J21" s="401">
        <f>I21-I21/'Тарифные ставки'!$B$15</f>
        <v>1187.7001878</v>
      </c>
      <c r="K21" s="465">
        <v>8240.9761875</v>
      </c>
      <c r="L21" s="464">
        <f t="shared" si="0"/>
        <v>-13.527220991014431</v>
      </c>
    </row>
    <row r="22" spans="1:12" ht="31.5">
      <c r="A22" s="60" t="s">
        <v>1572</v>
      </c>
      <c r="B22" s="61" t="s">
        <v>1584</v>
      </c>
      <c r="C22" s="430" t="s">
        <v>75</v>
      </c>
      <c r="D22" s="470" t="s">
        <v>1368</v>
      </c>
      <c r="E22" s="471">
        <f>'Тарифные ставки'!$B$7</f>
        <v>455.79099999999994</v>
      </c>
      <c r="F22" s="472">
        <v>3</v>
      </c>
      <c r="G22" s="472">
        <f t="shared" si="1"/>
        <v>1367.3729999999998</v>
      </c>
      <c r="H22" s="472">
        <f>G22*'Тарифные ставки'!$B$13</f>
        <v>3527.8223399999997</v>
      </c>
      <c r="I22" s="472">
        <f>H22*'Тарифные ставки'!$B$14*'Тарифные ставки'!$B$15</f>
        <v>4275.72067608</v>
      </c>
      <c r="J22" s="401">
        <f>I22-I22/'Тарифные ставки'!$B$15</f>
        <v>712.6201126799997</v>
      </c>
      <c r="K22" s="465">
        <v>4944.585712499999</v>
      </c>
      <c r="L22" s="464">
        <f t="shared" si="0"/>
        <v>-13.527220991014417</v>
      </c>
    </row>
    <row r="23" spans="1:12" ht="31.5">
      <c r="A23" s="60" t="s">
        <v>1573</v>
      </c>
      <c r="B23" s="61" t="s">
        <v>1585</v>
      </c>
      <c r="C23" s="430" t="s">
        <v>75</v>
      </c>
      <c r="D23" s="470" t="s">
        <v>1368</v>
      </c>
      <c r="E23" s="471">
        <f>'Тарифные ставки'!$B$7</f>
        <v>455.79099999999994</v>
      </c>
      <c r="F23" s="472">
        <v>1.5</v>
      </c>
      <c r="G23" s="472">
        <f t="shared" si="1"/>
        <v>683.6864999999999</v>
      </c>
      <c r="H23" s="472">
        <f>G23*'Тарифные ставки'!$B$13</f>
        <v>1763.9111699999999</v>
      </c>
      <c r="I23" s="472">
        <f>H23*'Тарифные ставки'!$B$14*'Тарифные ставки'!$B$15</f>
        <v>2137.86033804</v>
      </c>
      <c r="J23" s="401">
        <f>I23-I23/'Тарифные ставки'!$B$15</f>
        <v>356.31005633999985</v>
      </c>
      <c r="K23" s="465">
        <v>2472.2928562499997</v>
      </c>
      <c r="L23" s="464">
        <f t="shared" si="0"/>
        <v>-13.527220991014417</v>
      </c>
    </row>
    <row r="24" spans="1:12" ht="47.25" hidden="1">
      <c r="A24" s="60" t="s">
        <v>1574</v>
      </c>
      <c r="B24" s="61" t="s">
        <v>1586</v>
      </c>
      <c r="C24" s="430" t="s">
        <v>75</v>
      </c>
      <c r="D24" s="470" t="s">
        <v>1368</v>
      </c>
      <c r="E24" s="471">
        <v>323.89</v>
      </c>
      <c r="F24" s="472">
        <v>8</v>
      </c>
      <c r="G24" s="472">
        <f t="shared" si="1"/>
        <v>2591.12</v>
      </c>
      <c r="H24" s="472">
        <f>G24*'Тарифные ставки'!$B$13</f>
        <v>6685.0896</v>
      </c>
      <c r="I24" s="472">
        <f>H24*'Тарифные ставки'!$B$14*'Тарифные ставки'!$B$15</f>
        <v>8102.3285952</v>
      </c>
      <c r="J24" s="472"/>
      <c r="K24" s="465">
        <v>13185.561899999999</v>
      </c>
      <c r="L24" s="464">
        <f t="shared" si="0"/>
        <v>-38.5515106853353</v>
      </c>
    </row>
    <row r="25" spans="1:12" ht="31.5">
      <c r="A25" s="60" t="s">
        <v>1575</v>
      </c>
      <c r="B25" s="61" t="s">
        <v>1587</v>
      </c>
      <c r="C25" s="430" t="s">
        <v>75</v>
      </c>
      <c r="D25" s="470" t="s">
        <v>1368</v>
      </c>
      <c r="E25" s="471">
        <f>'Тарифные ставки'!$B$7</f>
        <v>455.79099999999994</v>
      </c>
      <c r="F25" s="472">
        <v>2.4</v>
      </c>
      <c r="G25" s="472">
        <f t="shared" si="1"/>
        <v>1093.8983999999998</v>
      </c>
      <c r="H25" s="472">
        <f>G25*'Тарифные ставки'!$B$13</f>
        <v>2822.2578719999997</v>
      </c>
      <c r="I25" s="472">
        <f>H25*'Тарифные ставки'!$B$14*'Тарифные ставки'!$B$15</f>
        <v>3420.5765408639995</v>
      </c>
      <c r="J25" s="401">
        <f>I25-I25/'Тарифные ставки'!$B$15</f>
        <v>570.0960901439998</v>
      </c>
      <c r="K25" s="465">
        <v>3955.6685699999994</v>
      </c>
      <c r="L25" s="464">
        <f t="shared" si="0"/>
        <v>-13.527220991014417</v>
      </c>
    </row>
    <row r="26" spans="1:12" ht="63" hidden="1">
      <c r="A26" s="60" t="s">
        <v>1576</v>
      </c>
      <c r="B26" s="61" t="s">
        <v>687</v>
      </c>
      <c r="C26" s="430" t="s">
        <v>75</v>
      </c>
      <c r="D26" s="470" t="s">
        <v>1368</v>
      </c>
      <c r="E26" s="471">
        <v>323.89</v>
      </c>
      <c r="F26" s="472">
        <v>8</v>
      </c>
      <c r="G26" s="472">
        <f>E26*F26</f>
        <v>2591.12</v>
      </c>
      <c r="H26" s="472">
        <f>G26*'Тарифные ставки'!$B$13</f>
        <v>6685.0896</v>
      </c>
      <c r="I26" s="472">
        <f>H26*'Тарифные ставки'!$B$14*'Тарифные ставки'!$B$15</f>
        <v>8102.3285952</v>
      </c>
      <c r="J26" s="472"/>
      <c r="K26" s="465">
        <v>13185.561899999999</v>
      </c>
      <c r="L26" s="464">
        <f t="shared" si="0"/>
        <v>-38.5515106853353</v>
      </c>
    </row>
    <row r="27" spans="1:12" ht="47.25" hidden="1">
      <c r="A27" s="60" t="s">
        <v>1577</v>
      </c>
      <c r="B27" s="61" t="s">
        <v>688</v>
      </c>
      <c r="C27" s="430" t="s">
        <v>75</v>
      </c>
      <c r="D27" s="470" t="s">
        <v>1368</v>
      </c>
      <c r="E27" s="471">
        <v>323.89</v>
      </c>
      <c r="F27" s="472">
        <v>4.6</v>
      </c>
      <c r="G27" s="472">
        <f>E27*F27</f>
        <v>1489.8939999999998</v>
      </c>
      <c r="H27" s="472">
        <f>G27*'Тарифные ставки'!$B$13</f>
        <v>3843.9265199999995</v>
      </c>
      <c r="I27" s="472">
        <f>H27*'Тарифные ставки'!$B$14*'Тарифные ставки'!$B$15</f>
        <v>4658.83894224</v>
      </c>
      <c r="J27" s="472"/>
      <c r="K27" s="465">
        <v>7581.698092499999</v>
      </c>
      <c r="L27" s="464">
        <f t="shared" si="0"/>
        <v>-38.5515106853353</v>
      </c>
    </row>
    <row r="28" spans="1:12" ht="63">
      <c r="A28" s="60" t="s">
        <v>1578</v>
      </c>
      <c r="B28" s="61" t="s">
        <v>689</v>
      </c>
      <c r="C28" s="430" t="s">
        <v>75</v>
      </c>
      <c r="D28" s="470" t="s">
        <v>1368</v>
      </c>
      <c r="E28" s="471">
        <f>'Тарифные ставки'!$B$7</f>
        <v>455.79099999999994</v>
      </c>
      <c r="F28" s="472">
        <v>3</v>
      </c>
      <c r="G28" s="472">
        <f>E28*F28</f>
        <v>1367.3729999999998</v>
      </c>
      <c r="H28" s="472">
        <f>G28*'Тарифные ставки'!$B$13</f>
        <v>3527.8223399999997</v>
      </c>
      <c r="I28" s="472">
        <f>H28*'Тарифные ставки'!$B$14*'Тарифные ставки'!$B$15</f>
        <v>4275.72067608</v>
      </c>
      <c r="J28" s="401">
        <f>I28-I28/'Тарифные ставки'!$B$15</f>
        <v>712.6201126799997</v>
      </c>
      <c r="K28" s="465">
        <v>4944.585712499999</v>
      </c>
      <c r="L28" s="464">
        <f t="shared" si="0"/>
        <v>-13.527220991014417</v>
      </c>
    </row>
    <row r="29" spans="1:12" ht="47.25">
      <c r="A29" s="60" t="s">
        <v>1579</v>
      </c>
      <c r="B29" s="61" t="s">
        <v>690</v>
      </c>
      <c r="C29" s="430" t="s">
        <v>75</v>
      </c>
      <c r="D29" s="470" t="s">
        <v>1368</v>
      </c>
      <c r="E29" s="471">
        <f>'Тарифные ставки'!$B$7</f>
        <v>455.79099999999994</v>
      </c>
      <c r="F29" s="472">
        <v>1</v>
      </c>
      <c r="G29" s="472">
        <f>E29*F29</f>
        <v>455.79099999999994</v>
      </c>
      <c r="H29" s="472">
        <f>G29*'Тарифные ставки'!$B$13</f>
        <v>1175.94078</v>
      </c>
      <c r="I29" s="472">
        <f>H29*'Тарифные ставки'!$B$14*'Тарифные ставки'!$B$15</f>
        <v>1425.2402253599998</v>
      </c>
      <c r="J29" s="401">
        <f>I29-I29/'Тарифные ставки'!$B$15</f>
        <v>237.54003755999997</v>
      </c>
      <c r="K29" s="465">
        <v>1648.1952374999998</v>
      </c>
      <c r="L29" s="464">
        <f t="shared" si="0"/>
        <v>-13.527220991014417</v>
      </c>
    </row>
    <row r="30" ht="15.75" hidden="1"/>
    <row r="31" spans="1:5" ht="15.75" hidden="1">
      <c r="A31" s="3" t="s">
        <v>1588</v>
      </c>
      <c r="D31" s="7"/>
      <c r="E31" s="7"/>
    </row>
    <row r="32" spans="1:5" ht="15.75" hidden="1">
      <c r="A32" s="3" t="s">
        <v>1589</v>
      </c>
      <c r="D32" s="7"/>
      <c r="E32" s="7"/>
    </row>
    <row r="33" ht="15.75" hidden="1"/>
    <row r="34" spans="1:10" ht="31.5" hidden="1">
      <c r="A34" s="24" t="s">
        <v>1590</v>
      </c>
      <c r="B34" s="11" t="s">
        <v>1053</v>
      </c>
      <c r="C34" s="64" t="s">
        <v>197</v>
      </c>
      <c r="D34" s="230" t="s">
        <v>1369</v>
      </c>
      <c r="E34" s="222">
        <v>112.14</v>
      </c>
      <c r="F34" s="199">
        <v>2.65</v>
      </c>
      <c r="G34" s="29">
        <f aca="true" t="shared" si="2" ref="G34:G59">E34*F34</f>
        <v>297.171</v>
      </c>
      <c r="H34" s="29">
        <f>G34*'Тарифные ставки'!$B$13</f>
        <v>766.70118</v>
      </c>
      <c r="I34" s="29">
        <f>H34*'Тарифные ставки'!$B$14*'Тарифные ставки'!$B$15</f>
        <v>929.24183016</v>
      </c>
      <c r="J34" s="29">
        <f>H34*1.1*0.18</f>
        <v>151.80683364</v>
      </c>
    </row>
    <row r="35" spans="1:10" ht="15.75" hidden="1">
      <c r="A35" s="13"/>
      <c r="B35" s="14" t="s">
        <v>1054</v>
      </c>
      <c r="D35" s="231" t="s">
        <v>1369</v>
      </c>
      <c r="E35" s="222">
        <v>112.14</v>
      </c>
      <c r="F35" s="197">
        <v>0.35</v>
      </c>
      <c r="G35" s="16">
        <f t="shared" si="2"/>
        <v>39.248999999999995</v>
      </c>
      <c r="H35" s="16">
        <f>G35*'Тарифные ставки'!$B$13</f>
        <v>101.26241999999999</v>
      </c>
      <c r="I35" s="16">
        <f>H35*'Тарифные ставки'!$B$14*'Тарифные ставки'!$B$15</f>
        <v>122.73005303999999</v>
      </c>
      <c r="J35" s="13">
        <f aca="true" t="shared" si="3" ref="J35:J60">H35*1.1*0.18</f>
        <v>20.04995916</v>
      </c>
    </row>
    <row r="36" spans="1:10" ht="15.75" hidden="1">
      <c r="A36" s="13"/>
      <c r="B36" s="14" t="s">
        <v>1055</v>
      </c>
      <c r="D36" s="231" t="s">
        <v>1369</v>
      </c>
      <c r="E36" s="222">
        <v>112.14</v>
      </c>
      <c r="F36" s="197">
        <v>0.5</v>
      </c>
      <c r="G36" s="16">
        <f t="shared" si="2"/>
        <v>56.07</v>
      </c>
      <c r="H36" s="16">
        <f>G36*'Тарифные ставки'!$B$13</f>
        <v>144.66060000000002</v>
      </c>
      <c r="I36" s="16">
        <f>H36*'Тарифные ставки'!$B$14*'Тарифные ставки'!$B$15</f>
        <v>175.3286472</v>
      </c>
      <c r="J36" s="13">
        <f t="shared" si="3"/>
        <v>28.64279880000001</v>
      </c>
    </row>
    <row r="37" spans="1:10" ht="15.75" hidden="1">
      <c r="A37" s="13"/>
      <c r="B37" s="14" t="s">
        <v>1056</v>
      </c>
      <c r="D37" s="231" t="s">
        <v>1369</v>
      </c>
      <c r="E37" s="222">
        <v>112.14</v>
      </c>
      <c r="F37" s="197">
        <v>0.72</v>
      </c>
      <c r="G37" s="16">
        <f t="shared" si="2"/>
        <v>80.7408</v>
      </c>
      <c r="H37" s="16">
        <f>G37*'Тарифные ставки'!$B$13</f>
        <v>208.311264</v>
      </c>
      <c r="I37" s="16">
        <f>H37*'Тарифные ставки'!$B$14*'Тарифные ставки'!$B$15</f>
        <v>252.47325196799997</v>
      </c>
      <c r="J37" s="13">
        <f t="shared" si="3"/>
        <v>41.245630272</v>
      </c>
    </row>
    <row r="38" spans="1:10" ht="15.75" hidden="1">
      <c r="A38" s="45"/>
      <c r="B38" s="26" t="s">
        <v>691</v>
      </c>
      <c r="C38" s="65"/>
      <c r="D38" s="231" t="s">
        <v>1369</v>
      </c>
      <c r="E38" s="222">
        <v>112.14</v>
      </c>
      <c r="F38" s="200">
        <v>1.08</v>
      </c>
      <c r="G38" s="28">
        <f t="shared" si="2"/>
        <v>121.11120000000001</v>
      </c>
      <c r="H38" s="28">
        <f>G38*'Тарифные ставки'!$B$13</f>
        <v>312.466896</v>
      </c>
      <c r="I38" s="28">
        <f>H38*'Тарифные ставки'!$B$14*'Тарифные ставки'!$B$15</f>
        <v>378.709877952</v>
      </c>
      <c r="J38" s="45">
        <f t="shared" si="3"/>
        <v>61.86844540800001</v>
      </c>
    </row>
    <row r="39" spans="1:10" ht="15.75" hidden="1">
      <c r="A39" s="24" t="s">
        <v>1057</v>
      </c>
      <c r="B39" s="11" t="s">
        <v>1058</v>
      </c>
      <c r="C39" s="64" t="s">
        <v>197</v>
      </c>
      <c r="D39" s="230" t="s">
        <v>1369</v>
      </c>
      <c r="E39" s="222">
        <v>112.14</v>
      </c>
      <c r="F39" s="199">
        <v>3.37</v>
      </c>
      <c r="G39" s="16">
        <f t="shared" si="2"/>
        <v>377.9118</v>
      </c>
      <c r="H39" s="16">
        <f>G39*'Тарифные ставки'!$B$13</f>
        <v>975.0124440000001</v>
      </c>
      <c r="I39" s="16">
        <f>H39*'Тарифные ставки'!$B$14*'Тарифные ставки'!$B$15</f>
        <v>1181.7150821280002</v>
      </c>
      <c r="J39" s="13">
        <f t="shared" si="3"/>
        <v>193.052463912</v>
      </c>
    </row>
    <row r="40" spans="1:10" ht="15.75" hidden="1">
      <c r="A40" s="13"/>
      <c r="B40" s="14" t="s">
        <v>1054</v>
      </c>
      <c r="C40" s="224"/>
      <c r="D40" s="231" t="s">
        <v>1369</v>
      </c>
      <c r="E40" s="222">
        <v>112.14</v>
      </c>
      <c r="F40" s="197">
        <v>0.35</v>
      </c>
      <c r="G40" s="16">
        <f t="shared" si="2"/>
        <v>39.248999999999995</v>
      </c>
      <c r="H40" s="16">
        <f>G40*'Тарифные ставки'!$B$13</f>
        <v>101.26241999999999</v>
      </c>
      <c r="I40" s="16">
        <f>H40*'Тарифные ставки'!$B$14*'Тарифные ставки'!$B$15</f>
        <v>122.73005303999999</v>
      </c>
      <c r="J40" s="13">
        <f t="shared" si="3"/>
        <v>20.04995916</v>
      </c>
    </row>
    <row r="41" spans="1:10" ht="15.75" hidden="1">
      <c r="A41" s="13"/>
      <c r="B41" s="14" t="s">
        <v>1055</v>
      </c>
      <c r="C41" s="224"/>
      <c r="D41" s="231" t="s">
        <v>1369</v>
      </c>
      <c r="E41" s="222">
        <v>112.14</v>
      </c>
      <c r="F41" s="197">
        <v>0.5</v>
      </c>
      <c r="G41" s="16">
        <f t="shared" si="2"/>
        <v>56.07</v>
      </c>
      <c r="H41" s="16">
        <f>G41*'Тарифные ставки'!$B$13</f>
        <v>144.66060000000002</v>
      </c>
      <c r="I41" s="16">
        <f>H41*'Тарифные ставки'!$B$14*'Тарифные ставки'!$B$15</f>
        <v>175.3286472</v>
      </c>
      <c r="J41" s="13">
        <f t="shared" si="3"/>
        <v>28.64279880000001</v>
      </c>
    </row>
    <row r="42" spans="1:10" ht="15.75" hidden="1">
      <c r="A42" s="13"/>
      <c r="B42" s="14" t="s">
        <v>1056</v>
      </c>
      <c r="C42" s="224"/>
      <c r="D42" s="231" t="s">
        <v>1369</v>
      </c>
      <c r="E42" s="222">
        <v>112.14</v>
      </c>
      <c r="F42" s="197">
        <v>1.08</v>
      </c>
      <c r="G42" s="16">
        <f t="shared" si="2"/>
        <v>121.11120000000001</v>
      </c>
      <c r="H42" s="16">
        <f>G42*'Тарифные ставки'!$B$13</f>
        <v>312.466896</v>
      </c>
      <c r="I42" s="16">
        <f>H42*'Тарифные ставки'!$B$14*'Тарифные ставки'!$B$15</f>
        <v>378.709877952</v>
      </c>
      <c r="J42" s="13">
        <f t="shared" si="3"/>
        <v>61.86844540800001</v>
      </c>
    </row>
    <row r="43" spans="1:10" ht="15.75" hidden="1">
      <c r="A43" s="45"/>
      <c r="B43" s="26" t="s">
        <v>691</v>
      </c>
      <c r="C43" s="225"/>
      <c r="D43" s="232" t="s">
        <v>1369</v>
      </c>
      <c r="E43" s="222">
        <v>112.14</v>
      </c>
      <c r="F43" s="200">
        <v>1.44</v>
      </c>
      <c r="G43" s="28">
        <f t="shared" si="2"/>
        <v>161.4816</v>
      </c>
      <c r="H43" s="28">
        <f>G43*'Тарифные ставки'!$B$13</f>
        <v>416.622528</v>
      </c>
      <c r="I43" s="28">
        <f>H43*'Тарифные ставки'!$B$14*'Тарифные ставки'!$B$15</f>
        <v>504.94650393599994</v>
      </c>
      <c r="J43" s="45">
        <f t="shared" si="3"/>
        <v>82.491260544</v>
      </c>
    </row>
    <row r="44" spans="1:10" ht="15.75" hidden="1">
      <c r="A44" s="24" t="s">
        <v>1591</v>
      </c>
      <c r="B44" s="11" t="s">
        <v>1059</v>
      </c>
      <c r="C44" s="226" t="s">
        <v>197</v>
      </c>
      <c r="D44" s="230" t="s">
        <v>1369</v>
      </c>
      <c r="E44" s="222">
        <v>112.14</v>
      </c>
      <c r="F44" s="199">
        <v>4.09</v>
      </c>
      <c r="G44" s="29">
        <f t="shared" si="2"/>
        <v>458.6526</v>
      </c>
      <c r="H44" s="29">
        <f>G44*'Тарифные ставки'!$B$13</f>
        <v>1183.3237080000001</v>
      </c>
      <c r="I44" s="29">
        <f>H44*'Тарифные ставки'!$B$14*'Тарифные ставки'!$B$15</f>
        <v>1434.1883340960003</v>
      </c>
      <c r="J44" s="48">
        <f t="shared" si="3"/>
        <v>234.298094184</v>
      </c>
    </row>
    <row r="45" spans="1:10" ht="15.75" hidden="1">
      <c r="A45" s="13"/>
      <c r="B45" s="14" t="s">
        <v>1054</v>
      </c>
      <c r="C45" s="227"/>
      <c r="D45" s="231" t="s">
        <v>1369</v>
      </c>
      <c r="E45" s="222">
        <v>112.14</v>
      </c>
      <c r="F45" s="197">
        <v>0.35</v>
      </c>
      <c r="G45" s="16">
        <f t="shared" si="2"/>
        <v>39.248999999999995</v>
      </c>
      <c r="H45" s="16">
        <f>G45*'Тарифные ставки'!$B$13</f>
        <v>101.26241999999999</v>
      </c>
      <c r="I45" s="16">
        <f>H45*'Тарифные ставки'!$B$14*'Тарифные ставки'!$B$15</f>
        <v>122.73005303999999</v>
      </c>
      <c r="J45" s="44">
        <f t="shared" si="3"/>
        <v>20.04995916</v>
      </c>
    </row>
    <row r="46" spans="1:10" ht="15.75" hidden="1">
      <c r="A46" s="13"/>
      <c r="B46" s="14" t="s">
        <v>1055</v>
      </c>
      <c r="C46" s="227"/>
      <c r="D46" s="231" t="s">
        <v>1369</v>
      </c>
      <c r="E46" s="222">
        <v>112.14</v>
      </c>
      <c r="F46" s="197">
        <v>0.5</v>
      </c>
      <c r="G46" s="16">
        <f t="shared" si="2"/>
        <v>56.07</v>
      </c>
      <c r="H46" s="16">
        <f>G46*'Тарифные ставки'!$B$13</f>
        <v>144.66060000000002</v>
      </c>
      <c r="I46" s="16">
        <f>H46*'Тарифные ставки'!$B$14*'Тарифные ставки'!$B$15</f>
        <v>175.3286472</v>
      </c>
      <c r="J46" s="44">
        <f t="shared" si="3"/>
        <v>28.64279880000001</v>
      </c>
    </row>
    <row r="47" spans="1:10" ht="15.75" hidden="1">
      <c r="A47" s="13"/>
      <c r="B47" s="14" t="s">
        <v>1056</v>
      </c>
      <c r="C47" s="227"/>
      <c r="D47" s="231" t="s">
        <v>1369</v>
      </c>
      <c r="E47" s="222">
        <v>112.14</v>
      </c>
      <c r="F47" s="197">
        <v>1.44</v>
      </c>
      <c r="G47" s="16">
        <f t="shared" si="2"/>
        <v>161.4816</v>
      </c>
      <c r="H47" s="16">
        <f>G47*'Тарифные ставки'!$B$13</f>
        <v>416.622528</v>
      </c>
      <c r="I47" s="16">
        <f>H47*'Тарифные ставки'!$B$14*'Тарифные ставки'!$B$15</f>
        <v>504.94650393599994</v>
      </c>
      <c r="J47" s="44">
        <f t="shared" si="3"/>
        <v>82.491260544</v>
      </c>
    </row>
    <row r="48" spans="1:10" ht="15.75" hidden="1">
      <c r="A48" s="45"/>
      <c r="B48" s="26" t="s">
        <v>691</v>
      </c>
      <c r="C48" s="193"/>
      <c r="D48" s="232" t="s">
        <v>1369</v>
      </c>
      <c r="E48" s="222">
        <v>112.14</v>
      </c>
      <c r="F48" s="200">
        <v>1.8</v>
      </c>
      <c r="G48" s="28">
        <f t="shared" si="2"/>
        <v>201.852</v>
      </c>
      <c r="H48" s="28">
        <f>G48*'Тарифные ставки'!$B$13</f>
        <v>520.7781600000001</v>
      </c>
      <c r="I48" s="28">
        <f>H48*'Тарифные ставки'!$B$14*'Тарифные ставки'!$B$15</f>
        <v>631.18312992</v>
      </c>
      <c r="J48" s="47">
        <f t="shared" si="3"/>
        <v>103.11407568000003</v>
      </c>
    </row>
    <row r="49" spans="1:10" ht="31.5" hidden="1">
      <c r="A49" s="60" t="s">
        <v>1592</v>
      </c>
      <c r="B49" s="39" t="s">
        <v>658</v>
      </c>
      <c r="C49" s="63" t="s">
        <v>197</v>
      </c>
      <c r="D49" s="223" t="s">
        <v>1369</v>
      </c>
      <c r="E49" s="222">
        <v>112.14</v>
      </c>
      <c r="F49" s="34">
        <v>6.6</v>
      </c>
      <c r="G49" s="34">
        <f t="shared" si="2"/>
        <v>740.1239999999999</v>
      </c>
      <c r="H49" s="34">
        <f>SUM(G49:G50)*'Тарифные ставки'!$B$13</f>
        <v>2633.3801999999996</v>
      </c>
      <c r="I49" s="34">
        <f>H49*'Тарифные ставки'!$B$14*'Тарифные ставки'!$B$15</f>
        <v>3191.6568023999994</v>
      </c>
      <c r="J49" s="60">
        <f t="shared" si="3"/>
        <v>521.4092796</v>
      </c>
    </row>
    <row r="50" spans="1:10" ht="15.75" hidden="1">
      <c r="A50" s="24" t="s">
        <v>1593</v>
      </c>
      <c r="B50" s="608" t="s">
        <v>659</v>
      </c>
      <c r="C50" s="36" t="s">
        <v>660</v>
      </c>
      <c r="D50" s="228" t="s">
        <v>1370</v>
      </c>
      <c r="E50" s="29">
        <v>85.02</v>
      </c>
      <c r="F50" s="29">
        <v>3.3</v>
      </c>
      <c r="G50" s="29">
        <f t="shared" si="2"/>
        <v>280.566</v>
      </c>
      <c r="H50" s="29">
        <f>(G50+G51)*'Тарифные ставки'!$B$13</f>
        <v>1029.47418</v>
      </c>
      <c r="I50" s="29">
        <f>H50*'Тарифные ставки'!$B$14*'Тарифные ставки'!$B$15</f>
        <v>1247.72270616</v>
      </c>
      <c r="J50" s="24">
        <f t="shared" si="3"/>
        <v>203.83588764</v>
      </c>
    </row>
    <row r="51" spans="1:10" ht="35.25" customHeight="1" hidden="1">
      <c r="A51" s="45"/>
      <c r="B51" s="609"/>
      <c r="C51" s="37"/>
      <c r="D51" s="229" t="s">
        <v>2316</v>
      </c>
      <c r="E51" s="28">
        <v>78.97</v>
      </c>
      <c r="F51" s="28">
        <v>1.5</v>
      </c>
      <c r="G51" s="28">
        <f t="shared" si="2"/>
        <v>118.455</v>
      </c>
      <c r="H51" s="28"/>
      <c r="I51" s="28"/>
      <c r="J51" s="45">
        <f t="shared" si="3"/>
        <v>0</v>
      </c>
    </row>
    <row r="52" spans="1:10" ht="31.5" hidden="1">
      <c r="A52" s="60" t="s">
        <v>1596</v>
      </c>
      <c r="B52" s="39" t="s">
        <v>1594</v>
      </c>
      <c r="C52" s="63" t="s">
        <v>975</v>
      </c>
      <c r="D52" s="221" t="s">
        <v>1369</v>
      </c>
      <c r="E52" s="222">
        <v>112.14</v>
      </c>
      <c r="F52" s="34">
        <v>0.7</v>
      </c>
      <c r="G52" s="34">
        <f t="shared" si="2"/>
        <v>78.49799999999999</v>
      </c>
      <c r="H52" s="34">
        <f>G52*'Тарифные ставки'!$B$13</f>
        <v>202.52483999999998</v>
      </c>
      <c r="I52" s="34">
        <f>H52*'Тарифные ставки'!$B$14*'Тарифные ставки'!$B$15</f>
        <v>245.46010607999997</v>
      </c>
      <c r="J52" s="60">
        <f t="shared" si="3"/>
        <v>40.09991832</v>
      </c>
    </row>
    <row r="53" spans="1:10" ht="31.5" hidden="1">
      <c r="A53" s="24" t="s">
        <v>744</v>
      </c>
      <c r="B53" s="11" t="s">
        <v>1804</v>
      </c>
      <c r="C53" s="36" t="s">
        <v>1595</v>
      </c>
      <c r="D53" s="230" t="s">
        <v>1369</v>
      </c>
      <c r="E53" s="222">
        <v>112.14</v>
      </c>
      <c r="F53" s="199">
        <v>2.1</v>
      </c>
      <c r="G53" s="29">
        <f t="shared" si="2"/>
        <v>235.494</v>
      </c>
      <c r="H53" s="29">
        <f>G53*'Тарифные ставки'!$B$13</f>
        <v>607.57452</v>
      </c>
      <c r="I53" s="29">
        <f>H53*'Тарифные ставки'!$B$14*'Тарифные ставки'!$B$15</f>
        <v>736.3803182400001</v>
      </c>
      <c r="J53" s="24">
        <f t="shared" si="3"/>
        <v>120.29975496</v>
      </c>
    </row>
    <row r="54" spans="1:10" ht="15.75" hidden="1">
      <c r="A54" s="13"/>
      <c r="B54" s="14" t="s">
        <v>1805</v>
      </c>
      <c r="C54" s="66"/>
      <c r="D54" s="231" t="s">
        <v>1369</v>
      </c>
      <c r="E54" s="222">
        <v>112.14</v>
      </c>
      <c r="F54" s="197">
        <v>3</v>
      </c>
      <c r="G54" s="16">
        <f t="shared" si="2"/>
        <v>336.42</v>
      </c>
      <c r="H54" s="16">
        <f>G54*'Тарифные ставки'!$B$13</f>
        <v>867.9636</v>
      </c>
      <c r="I54" s="16">
        <f>H54*'Тарифные ставки'!$B$14*'Тарифные ставки'!$B$15</f>
        <v>1051.9718831999999</v>
      </c>
      <c r="J54" s="13">
        <f t="shared" si="3"/>
        <v>171.85679280000002</v>
      </c>
    </row>
    <row r="55" spans="1:10" ht="15.75" hidden="1">
      <c r="A55" s="13"/>
      <c r="B55" s="14" t="s">
        <v>1297</v>
      </c>
      <c r="C55" s="66"/>
      <c r="D55" s="231" t="s">
        <v>1369</v>
      </c>
      <c r="E55" s="222">
        <v>112.14</v>
      </c>
      <c r="F55" s="197">
        <v>4</v>
      </c>
      <c r="G55" s="16">
        <f t="shared" si="2"/>
        <v>448.56</v>
      </c>
      <c r="H55" s="16">
        <f>G55*'Тарифные ставки'!$B$13</f>
        <v>1157.2848000000001</v>
      </c>
      <c r="I55" s="16">
        <f>H55*'Тарифные ставки'!$B$14*'Тарифные ставки'!$B$15</f>
        <v>1402.6291776</v>
      </c>
      <c r="J55" s="13">
        <f t="shared" si="3"/>
        <v>229.14239040000007</v>
      </c>
    </row>
    <row r="56" spans="1:10" ht="15.75" hidden="1">
      <c r="A56" s="45"/>
      <c r="B56" s="26" t="s">
        <v>1806</v>
      </c>
      <c r="C56" s="37"/>
      <c r="D56" s="232" t="s">
        <v>1369</v>
      </c>
      <c r="E56" s="222">
        <v>112.14</v>
      </c>
      <c r="F56" s="200">
        <v>0.45</v>
      </c>
      <c r="G56" s="28">
        <f t="shared" si="2"/>
        <v>50.463</v>
      </c>
      <c r="H56" s="28">
        <f>G56*'Тарифные ставки'!$B$13</f>
        <v>130.19454000000002</v>
      </c>
      <c r="I56" s="28">
        <f>H56*'Тарифные ставки'!$B$14*'Тарифные ставки'!$B$15</f>
        <v>157.79578248</v>
      </c>
      <c r="J56" s="45">
        <f t="shared" si="3"/>
        <v>25.778518920000007</v>
      </c>
    </row>
    <row r="57" spans="1:10" ht="31.5" hidden="1">
      <c r="A57" s="24" t="s">
        <v>745</v>
      </c>
      <c r="B57" s="11" t="s">
        <v>1807</v>
      </c>
      <c r="C57" s="36" t="s">
        <v>1595</v>
      </c>
      <c r="D57" s="223" t="s">
        <v>1369</v>
      </c>
      <c r="E57" s="222">
        <v>112.14</v>
      </c>
      <c r="F57" s="29">
        <v>0.45</v>
      </c>
      <c r="G57" s="29">
        <f t="shared" si="2"/>
        <v>50.463</v>
      </c>
      <c r="H57" s="29">
        <f>G57*'Тарифные ставки'!$B$13</f>
        <v>130.19454000000002</v>
      </c>
      <c r="I57" s="29">
        <f>H57*'Тарифные ставки'!$B$14*'Тарифные ставки'!$B$15</f>
        <v>157.79578248</v>
      </c>
      <c r="J57" s="24">
        <f t="shared" si="3"/>
        <v>25.778518920000007</v>
      </c>
    </row>
    <row r="58" spans="1:10" ht="15.75" hidden="1">
      <c r="A58" s="13"/>
      <c r="B58" s="14" t="s">
        <v>1808</v>
      </c>
      <c r="C58" s="66"/>
      <c r="D58" s="231" t="s">
        <v>1369</v>
      </c>
      <c r="E58" s="222">
        <v>112.14</v>
      </c>
      <c r="F58" s="16">
        <v>0.52</v>
      </c>
      <c r="G58" s="16">
        <f t="shared" si="2"/>
        <v>58.3128</v>
      </c>
      <c r="H58" s="16">
        <f>G58*'Тарифные ставки'!$B$13</f>
        <v>150.447024</v>
      </c>
      <c r="I58" s="16">
        <f>H58*'Тарифные ставки'!$B$14*'Тарифные ставки'!$B$15</f>
        <v>182.34179308799997</v>
      </c>
      <c r="J58" s="13">
        <f t="shared" si="3"/>
        <v>29.788510752</v>
      </c>
    </row>
    <row r="59" spans="1:10" ht="15.75" hidden="1">
      <c r="A59" s="13"/>
      <c r="B59" s="14" t="s">
        <v>1809</v>
      </c>
      <c r="C59" s="66"/>
      <c r="D59" s="231" t="s">
        <v>1369</v>
      </c>
      <c r="E59" s="222">
        <v>112.14</v>
      </c>
      <c r="F59" s="16">
        <v>0.6</v>
      </c>
      <c r="G59" s="16">
        <f t="shared" si="2"/>
        <v>67.28399999999999</v>
      </c>
      <c r="H59" s="16">
        <f>G59*'Тарифные ставки'!$B$13</f>
        <v>173.59271999999999</v>
      </c>
      <c r="I59" s="16">
        <f>H59*'Тарифные ставки'!$B$14*'Тарифные ставки'!$B$15</f>
        <v>210.39437663999996</v>
      </c>
      <c r="J59" s="13">
        <f t="shared" si="3"/>
        <v>34.37135856</v>
      </c>
    </row>
    <row r="60" spans="1:10" ht="15.75" hidden="1">
      <c r="A60" s="45"/>
      <c r="B60" s="26" t="s">
        <v>1810</v>
      </c>
      <c r="C60" s="37"/>
      <c r="D60" s="231" t="s">
        <v>1369</v>
      </c>
      <c r="E60" s="222">
        <v>112.14</v>
      </c>
      <c r="F60" s="47">
        <v>0.7</v>
      </c>
      <c r="G60" s="28">
        <f>E60*F60</f>
        <v>78.49799999999999</v>
      </c>
      <c r="H60" s="28">
        <f>G60*'Тарифные ставки'!$B$13</f>
        <v>202.52483999999998</v>
      </c>
      <c r="I60" s="28">
        <f>H60*'Тарифные ставки'!$B$14*'Тарифные ставки'!$B$15</f>
        <v>245.46010607999997</v>
      </c>
      <c r="J60" s="47">
        <f t="shared" si="3"/>
        <v>40.09991832</v>
      </c>
    </row>
    <row r="61" spans="1:9" ht="51.75" customHeight="1" hidden="1">
      <c r="A61" s="651" t="s">
        <v>1597</v>
      </c>
      <c r="B61" s="651"/>
      <c r="C61" s="651"/>
      <c r="D61" s="651"/>
      <c r="E61" s="651"/>
      <c r="F61" s="651"/>
      <c r="G61" s="651"/>
      <c r="H61" s="651"/>
      <c r="I61" s="651"/>
    </row>
    <row r="62" spans="5:10" ht="15.75">
      <c r="E62" s="58"/>
      <c r="F62" s="58"/>
      <c r="G62" s="58"/>
      <c r="H62" s="58"/>
      <c r="I62" s="58"/>
      <c r="J62" s="58"/>
    </row>
    <row r="63" spans="5:10" ht="15.75">
      <c r="E63" s="58"/>
      <c r="F63" s="58"/>
      <c r="G63" s="58"/>
      <c r="H63" s="58"/>
      <c r="I63" s="58"/>
      <c r="J63" s="58"/>
    </row>
    <row r="64" spans="5:10" ht="15.75">
      <c r="E64" s="58"/>
      <c r="F64" s="58"/>
      <c r="G64" s="58"/>
      <c r="H64" s="58"/>
      <c r="I64" s="58"/>
      <c r="J64" s="58"/>
    </row>
    <row r="65" spans="5:10" ht="15.75">
      <c r="E65" s="58"/>
      <c r="F65" s="58"/>
      <c r="G65" s="58"/>
      <c r="H65" s="58"/>
      <c r="I65" s="58"/>
      <c r="J65" s="58"/>
    </row>
    <row r="66" spans="5:10" ht="15.75">
      <c r="E66" s="58"/>
      <c r="F66" s="58"/>
      <c r="G66" s="58"/>
      <c r="H66" s="58"/>
      <c r="I66" s="58"/>
      <c r="J66" s="58"/>
    </row>
    <row r="67" spans="5:10" ht="15.75">
      <c r="E67" s="58"/>
      <c r="F67" s="58"/>
      <c r="G67" s="58"/>
      <c r="H67" s="58"/>
      <c r="I67" s="58"/>
      <c r="J67" s="58"/>
    </row>
    <row r="68" spans="5:10" ht="15.75">
      <c r="E68" s="58"/>
      <c r="F68" s="58"/>
      <c r="G68" s="58"/>
      <c r="H68" s="58"/>
      <c r="I68" s="58"/>
      <c r="J68" s="58"/>
    </row>
    <row r="69" spans="5:10" ht="15.75">
      <c r="E69" s="58"/>
      <c r="F69" s="58"/>
      <c r="G69" s="58"/>
      <c r="H69" s="58"/>
      <c r="I69" s="58"/>
      <c r="J69" s="58"/>
    </row>
    <row r="70" spans="5:10" ht="15.75">
      <c r="E70" s="58"/>
      <c r="F70" s="58"/>
      <c r="G70" s="58"/>
      <c r="H70" s="58"/>
      <c r="I70" s="58"/>
      <c r="J70" s="58"/>
    </row>
    <row r="71" spans="5:10" ht="15.75">
      <c r="E71" s="58"/>
      <c r="F71" s="58"/>
      <c r="G71" s="58"/>
      <c r="H71" s="58"/>
      <c r="I71" s="58"/>
      <c r="J71" s="58"/>
    </row>
    <row r="72" spans="5:10" ht="15.75">
      <c r="E72" s="58"/>
      <c r="F72" s="58"/>
      <c r="G72" s="58"/>
      <c r="H72" s="58"/>
      <c r="I72" s="58"/>
      <c r="J72" s="58"/>
    </row>
    <row r="73" spans="5:10" ht="15.75">
      <c r="E73" s="58"/>
      <c r="F73" s="58"/>
      <c r="G73" s="58"/>
      <c r="H73" s="58"/>
      <c r="I73" s="58"/>
      <c r="J73" s="58"/>
    </row>
    <row r="74" spans="5:10" ht="15.75">
      <c r="E74" s="58"/>
      <c r="F74" s="58"/>
      <c r="G74" s="58"/>
      <c r="H74" s="58"/>
      <c r="I74" s="58"/>
      <c r="J74" s="58"/>
    </row>
    <row r="75" spans="5:10" ht="15.75">
      <c r="E75" s="58"/>
      <c r="F75" s="58"/>
      <c r="G75" s="58"/>
      <c r="H75" s="58"/>
      <c r="I75" s="58"/>
      <c r="J75" s="58"/>
    </row>
    <row r="76" spans="5:10" ht="15.75">
      <c r="E76" s="58"/>
      <c r="F76" s="58"/>
      <c r="G76" s="58"/>
      <c r="H76" s="58"/>
      <c r="I76" s="58"/>
      <c r="J76" s="58"/>
    </row>
  </sheetData>
  <sheetProtection/>
  <autoFilter ref="A33:J61"/>
  <mergeCells count="28">
    <mergeCell ref="GP3:GZ3"/>
    <mergeCell ref="EB3:EL3"/>
    <mergeCell ref="EM3:EW3"/>
    <mergeCell ref="HL3:HV3"/>
    <mergeCell ref="HW3:IG3"/>
    <mergeCell ref="CU3:DE3"/>
    <mergeCell ref="DF3:DP3"/>
    <mergeCell ref="DQ3:EA3"/>
    <mergeCell ref="B50:B51"/>
    <mergeCell ref="A61:I61"/>
    <mergeCell ref="IS3:IU3"/>
    <mergeCell ref="EX3:FH3"/>
    <mergeCell ref="FI3:FS3"/>
    <mergeCell ref="FT3:GD3"/>
    <mergeCell ref="GE3:GO3"/>
    <mergeCell ref="IH3:IR3"/>
    <mergeCell ref="HA3:HK3"/>
    <mergeCell ref="BY3:CI3"/>
    <mergeCell ref="A1:J1"/>
    <mergeCell ref="A3:J3"/>
    <mergeCell ref="K3:U3"/>
    <mergeCell ref="V3:AF3"/>
    <mergeCell ref="A4:J4"/>
    <mergeCell ref="CJ3:CT3"/>
    <mergeCell ref="AG3:AQ3"/>
    <mergeCell ref="AR3:BB3"/>
    <mergeCell ref="BC3:BM3"/>
    <mergeCell ref="BN3:BX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26"/>
  <sheetViews>
    <sheetView view="pageBreakPreview" zoomScaleSheetLayoutView="100" zoomScalePageLayoutView="0" workbookViewId="0" topLeftCell="A1">
      <pane xSplit="1" ySplit="5" topLeftCell="B14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R51" sqref="R51"/>
    </sheetView>
  </sheetViews>
  <sheetFormatPr defaultColWidth="9.00390625" defaultRowHeight="12.75"/>
  <cols>
    <col min="1" max="1" width="8.25390625" style="3" customWidth="1"/>
    <col min="2" max="2" width="55.375" style="3" customWidth="1"/>
    <col min="3" max="3" width="13.75390625" style="3" customWidth="1"/>
    <col min="4" max="4" width="13.75390625" style="3" hidden="1" customWidth="1"/>
    <col min="5" max="8" width="13.75390625" style="376" hidden="1" customWidth="1"/>
    <col min="9" max="10" width="13.75390625" style="376" customWidth="1"/>
    <col min="11" max="11" width="14.875" style="376" hidden="1" customWidth="1"/>
    <col min="12" max="12" width="12.375" style="376" hidden="1" customWidth="1"/>
    <col min="13" max="16384" width="9.125" style="3" customWidth="1"/>
  </cols>
  <sheetData>
    <row r="1" spans="1:12" s="2" customFormat="1" ht="15.75">
      <c r="A1" s="604" t="s">
        <v>1159</v>
      </c>
      <c r="B1" s="604"/>
      <c r="C1" s="604"/>
      <c r="D1" s="604"/>
      <c r="E1" s="604"/>
      <c r="F1" s="604"/>
      <c r="G1" s="604"/>
      <c r="H1" s="604"/>
      <c r="I1" s="604"/>
      <c r="J1" s="604"/>
      <c r="K1" s="381"/>
      <c r="L1" s="381"/>
    </row>
    <row r="3" spans="1:10" ht="15.75">
      <c r="A3" s="604" t="s">
        <v>1606</v>
      </c>
      <c r="B3" s="604"/>
      <c r="C3" s="604"/>
      <c r="D3" s="604"/>
      <c r="E3" s="604"/>
      <c r="F3" s="604"/>
      <c r="G3" s="604"/>
      <c r="H3" s="604"/>
      <c r="I3" s="604"/>
      <c r="J3" s="604"/>
    </row>
    <row r="5" spans="1:12" ht="63">
      <c r="A5" s="312" t="s">
        <v>83</v>
      </c>
      <c r="B5" s="313" t="s">
        <v>82</v>
      </c>
      <c r="C5" s="313" t="s">
        <v>77</v>
      </c>
      <c r="D5" s="313" t="s">
        <v>81</v>
      </c>
      <c r="E5" s="393" t="s">
        <v>85</v>
      </c>
      <c r="F5" s="393" t="s">
        <v>78</v>
      </c>
      <c r="G5" s="393" t="s">
        <v>79</v>
      </c>
      <c r="H5" s="393" t="s">
        <v>80</v>
      </c>
      <c r="I5" s="394" t="s">
        <v>843</v>
      </c>
      <c r="J5" s="394" t="s">
        <v>2349</v>
      </c>
      <c r="K5" s="489" t="s">
        <v>2386</v>
      </c>
      <c r="L5" s="477" t="s">
        <v>2385</v>
      </c>
    </row>
    <row r="6" spans="1:12" ht="31.5">
      <c r="A6" s="71" t="s">
        <v>1598</v>
      </c>
      <c r="B6" s="11" t="s">
        <v>1599</v>
      </c>
      <c r="C6" s="72" t="s">
        <v>660</v>
      </c>
      <c r="D6" s="228" t="s">
        <v>2316</v>
      </c>
      <c r="E6" s="400">
        <f>'Тарифные ставки'!$B$5</f>
        <v>137.4825</v>
      </c>
      <c r="F6" s="400">
        <v>0.43</v>
      </c>
      <c r="G6" s="400">
        <f aca="true" t="shared" si="0" ref="G6:G37">E6*F6</f>
        <v>59.11747499999999</v>
      </c>
      <c r="H6" s="400">
        <f>SUM(G6:G7)*'Тарифные ставки'!$B$13</f>
        <v>305.04617099999996</v>
      </c>
      <c r="I6" s="400">
        <f>H6*'Тарифные ставки'!$B$14*'Тарифные ставки'!$B$15</f>
        <v>369.7159592519999</v>
      </c>
      <c r="J6" s="400">
        <f>I6-I6/'Тарифные ставки'!$B$15</f>
        <v>61.61932654199995</v>
      </c>
      <c r="K6" s="478">
        <v>309.2812668</v>
      </c>
      <c r="L6" s="450">
        <f>I6/K6*100-100</f>
        <v>19.540366307113132</v>
      </c>
    </row>
    <row r="7" spans="1:12" ht="15.75" hidden="1">
      <c r="A7" s="69"/>
      <c r="B7" s="30"/>
      <c r="C7" s="70"/>
      <c r="D7" s="233" t="s">
        <v>2316</v>
      </c>
      <c r="E7" s="399">
        <f>'Тарифные ставки'!$B$5</f>
        <v>137.4825</v>
      </c>
      <c r="F7" s="399">
        <v>0.43</v>
      </c>
      <c r="G7" s="399">
        <f t="shared" si="0"/>
        <v>59.11747499999999</v>
      </c>
      <c r="H7" s="399"/>
      <c r="I7" s="399"/>
      <c r="J7" s="399"/>
      <c r="K7" s="479"/>
      <c r="L7" s="490"/>
    </row>
    <row r="8" spans="1:12" ht="31.5">
      <c r="A8" s="71" t="s">
        <v>1600</v>
      </c>
      <c r="B8" s="11" t="s">
        <v>1601</v>
      </c>
      <c r="C8" s="72" t="s">
        <v>660</v>
      </c>
      <c r="D8" s="228" t="s">
        <v>2316</v>
      </c>
      <c r="E8" s="400">
        <f>'Тарифные ставки'!$B$5</f>
        <v>137.4825</v>
      </c>
      <c r="F8" s="400">
        <v>0.58</v>
      </c>
      <c r="G8" s="400">
        <f t="shared" si="0"/>
        <v>79.73984999999999</v>
      </c>
      <c r="H8" s="400">
        <f>SUM(G8:G9)*'Тарифные ставки'!$B$13</f>
        <v>411.45762599999995</v>
      </c>
      <c r="I8" s="400">
        <f>H8*'Тарифные ставки'!$B$14*'Тарифные ставки'!$B$15</f>
        <v>498.68664271199987</v>
      </c>
      <c r="J8" s="400">
        <f>I8-I8/'Тарифные ставки'!$B$15</f>
        <v>83.11444045199994</v>
      </c>
      <c r="K8" s="478">
        <v>417.17008080000005</v>
      </c>
      <c r="L8" s="450">
        <f aca="true" t="shared" si="1" ref="L8:L66">I8/K8*100-100</f>
        <v>19.540366307113132</v>
      </c>
    </row>
    <row r="9" spans="1:12" ht="15.75" hidden="1">
      <c r="A9" s="69"/>
      <c r="B9" s="30"/>
      <c r="C9" s="70"/>
      <c r="D9" s="233" t="s">
        <v>2316</v>
      </c>
      <c r="E9" s="399">
        <f>'Тарифные ставки'!$B$5</f>
        <v>137.4825</v>
      </c>
      <c r="F9" s="399">
        <v>0.58</v>
      </c>
      <c r="G9" s="399">
        <f t="shared" si="0"/>
        <v>79.73984999999999</v>
      </c>
      <c r="H9" s="399"/>
      <c r="I9" s="399"/>
      <c r="J9" s="399"/>
      <c r="K9" s="479"/>
      <c r="L9" s="490"/>
    </row>
    <row r="10" spans="1:12" ht="31.5">
      <c r="A10" s="71" t="s">
        <v>1602</v>
      </c>
      <c r="B10" s="11" t="s">
        <v>1603</v>
      </c>
      <c r="C10" s="72" t="s">
        <v>1812</v>
      </c>
      <c r="D10" s="228" t="s">
        <v>2316</v>
      </c>
      <c r="E10" s="400">
        <f>'Тарифные ставки'!$B$5</f>
        <v>137.4825</v>
      </c>
      <c r="F10" s="400">
        <v>0.03</v>
      </c>
      <c r="G10" s="400">
        <f t="shared" si="0"/>
        <v>4.1244749999999994</v>
      </c>
      <c r="H10" s="400">
        <f>SUM(G10:G11)*'Тарифные ставки'!$B$13</f>
        <v>21.282290999999997</v>
      </c>
      <c r="I10" s="400">
        <f>H10*'Тарифные ставки'!$B$14*'Тарифные ставки'!$B$15</f>
        <v>25.794136691999995</v>
      </c>
      <c r="J10" s="400">
        <f>I10-I10/'Тарифные ставки'!$B$15</f>
        <v>4.299022781999998</v>
      </c>
      <c r="K10" s="478">
        <v>21.577762800000006</v>
      </c>
      <c r="L10" s="450">
        <f t="shared" si="1"/>
        <v>19.540366307113118</v>
      </c>
    </row>
    <row r="11" spans="1:12" ht="15.75" hidden="1">
      <c r="A11" s="69"/>
      <c r="B11" s="30"/>
      <c r="C11" s="70"/>
      <c r="D11" s="233" t="s">
        <v>2316</v>
      </c>
      <c r="E11" s="399">
        <f>'Тарифные ставки'!$B$5</f>
        <v>137.4825</v>
      </c>
      <c r="F11" s="399">
        <v>0.03</v>
      </c>
      <c r="G11" s="399">
        <f t="shared" si="0"/>
        <v>4.1244749999999994</v>
      </c>
      <c r="H11" s="399"/>
      <c r="I11" s="399"/>
      <c r="J11" s="399"/>
      <c r="K11" s="479"/>
      <c r="L11" s="490"/>
    </row>
    <row r="12" spans="1:12" ht="78.75" customHeight="1">
      <c r="A12" s="71" t="s">
        <v>2326</v>
      </c>
      <c r="B12" s="608" t="s">
        <v>2448</v>
      </c>
      <c r="C12" s="72" t="s">
        <v>2327</v>
      </c>
      <c r="D12" s="228" t="s">
        <v>2316</v>
      </c>
      <c r="E12" s="400">
        <f>'Тарифные ставки'!$B$5</f>
        <v>137.4825</v>
      </c>
      <c r="F12" s="400">
        <v>0.14</v>
      </c>
      <c r="G12" s="400">
        <f t="shared" si="0"/>
        <v>19.24755</v>
      </c>
      <c r="H12" s="400">
        <f>SUM(G12:G13)*'Тарифные ставки'!$B$13</f>
        <v>102.86440649999999</v>
      </c>
      <c r="I12" s="400">
        <f>H12*'Тарифные ставки'!$B$14*'Тарифные ставки'!$B$15</f>
        <v>124.67166067799997</v>
      </c>
      <c r="J12" s="400">
        <f>I12-I12/'Тарифные ставки'!$B$15</f>
        <v>20.778610112999985</v>
      </c>
      <c r="K12" s="478">
        <v>104.29252020000001</v>
      </c>
      <c r="L12" s="450">
        <f t="shared" si="1"/>
        <v>19.540366307113132</v>
      </c>
    </row>
    <row r="13" spans="1:12" ht="15.75" hidden="1">
      <c r="A13" s="69"/>
      <c r="B13" s="609"/>
      <c r="C13" s="70"/>
      <c r="D13" s="233" t="s">
        <v>2316</v>
      </c>
      <c r="E13" s="399">
        <f>'Тарифные ставки'!$B$5</f>
        <v>137.4825</v>
      </c>
      <c r="F13" s="399">
        <v>0.15</v>
      </c>
      <c r="G13" s="399">
        <f t="shared" si="0"/>
        <v>20.622374999999998</v>
      </c>
      <c r="H13" s="399"/>
      <c r="I13" s="399"/>
      <c r="J13" s="399"/>
      <c r="K13" s="479"/>
      <c r="L13" s="490"/>
    </row>
    <row r="14" spans="1:12" ht="49.5" customHeight="1">
      <c r="A14" s="71" t="s">
        <v>2328</v>
      </c>
      <c r="B14" s="608" t="s">
        <v>2449</v>
      </c>
      <c r="C14" s="72" t="s">
        <v>368</v>
      </c>
      <c r="D14" s="228" t="s">
        <v>2316</v>
      </c>
      <c r="E14" s="400">
        <f>'Тарифные ставки'!$B$5</f>
        <v>137.4825</v>
      </c>
      <c r="F14" s="400">
        <v>0.05</v>
      </c>
      <c r="G14" s="400">
        <f t="shared" si="0"/>
        <v>6.874124999999999</v>
      </c>
      <c r="H14" s="400">
        <f>SUM(G14:G15)*'Тарифные ставки'!$B$13</f>
        <v>35.470485</v>
      </c>
      <c r="I14" s="400">
        <f>H14*'Тарифные ставки'!$B$14*'Тарифные ставки'!$B$15</f>
        <v>42.990227819999994</v>
      </c>
      <c r="J14" s="400">
        <f>I14-I14/'Тарифные ставки'!$B$15</f>
        <v>7.16503797</v>
      </c>
      <c r="K14" s="478">
        <v>35.96293800000001</v>
      </c>
      <c r="L14" s="450">
        <f t="shared" si="1"/>
        <v>19.540366307113132</v>
      </c>
    </row>
    <row r="15" spans="1:12" ht="15.75" hidden="1">
      <c r="A15" s="69"/>
      <c r="B15" s="609"/>
      <c r="C15" s="70"/>
      <c r="D15" s="233" t="s">
        <v>2316</v>
      </c>
      <c r="E15" s="399">
        <f>'Тарифные ставки'!$B$5</f>
        <v>137.4825</v>
      </c>
      <c r="F15" s="399">
        <v>0.05</v>
      </c>
      <c r="G15" s="399">
        <f t="shared" si="0"/>
        <v>6.874124999999999</v>
      </c>
      <c r="H15" s="399"/>
      <c r="I15" s="399"/>
      <c r="J15" s="399"/>
      <c r="K15" s="479"/>
      <c r="L15" s="490"/>
    </row>
    <row r="16" spans="1:12" ht="31.5">
      <c r="A16" s="71" t="s">
        <v>369</v>
      </c>
      <c r="B16" s="11" t="s">
        <v>101</v>
      </c>
      <c r="C16" s="72" t="s">
        <v>102</v>
      </c>
      <c r="D16" s="228" t="s">
        <v>2316</v>
      </c>
      <c r="E16" s="400">
        <f>'Тарифные ставки'!$B$5</f>
        <v>137.4825</v>
      </c>
      <c r="F16" s="400">
        <v>0.04</v>
      </c>
      <c r="G16" s="400">
        <f t="shared" si="0"/>
        <v>5.4993</v>
      </c>
      <c r="H16" s="400">
        <f>SUM(G16:G17)*'Тарифные ставки'!$B$13</f>
        <v>31.923436499999998</v>
      </c>
      <c r="I16" s="400">
        <f>H16*'Тарифные ставки'!$B$14*'Тарифные ставки'!$B$15</f>
        <v>38.691205038</v>
      </c>
      <c r="J16" s="400">
        <f>I16-I16/'Тарифные ставки'!$B$15</f>
        <v>6.448534172999999</v>
      </c>
      <c r="K16" s="478">
        <v>32.3666442</v>
      </c>
      <c r="L16" s="450">
        <f t="shared" si="1"/>
        <v>19.54036630711316</v>
      </c>
    </row>
    <row r="17" spans="1:12" ht="15.75" hidden="1">
      <c r="A17" s="69"/>
      <c r="B17" s="30"/>
      <c r="C17" s="70"/>
      <c r="D17" s="233" t="s">
        <v>2316</v>
      </c>
      <c r="E17" s="399">
        <f>'Тарифные ставки'!$B$5</f>
        <v>137.4825</v>
      </c>
      <c r="F17" s="399">
        <v>0.05</v>
      </c>
      <c r="G17" s="399">
        <f t="shared" si="0"/>
        <v>6.874124999999999</v>
      </c>
      <c r="H17" s="399"/>
      <c r="I17" s="399"/>
      <c r="J17" s="399"/>
      <c r="K17" s="479"/>
      <c r="L17" s="490"/>
    </row>
    <row r="18" spans="1:12" ht="27.75" customHeight="1">
      <c r="A18" s="71" t="s">
        <v>103</v>
      </c>
      <c r="B18" s="11" t="s">
        <v>104</v>
      </c>
      <c r="C18" s="72" t="s">
        <v>105</v>
      </c>
      <c r="D18" s="228" t="s">
        <v>2316</v>
      </c>
      <c r="E18" s="400">
        <f>'Тарифные ставки'!$B$5</f>
        <v>137.4825</v>
      </c>
      <c r="F18" s="400">
        <v>0.06</v>
      </c>
      <c r="G18" s="400">
        <f t="shared" si="0"/>
        <v>8.248949999999999</v>
      </c>
      <c r="H18" s="400">
        <f>SUM(G18:G19)*'Тарифные ставки'!$B$13</f>
        <v>42.564581999999994</v>
      </c>
      <c r="I18" s="400">
        <f>H18*'Тарифные ставки'!$B$14*'Тарифные ставки'!$B$15</f>
        <v>51.58827338399999</v>
      </c>
      <c r="J18" s="400">
        <f>I18-I18/'Тарифные ставки'!$B$15</f>
        <v>8.598045563999996</v>
      </c>
      <c r="K18" s="478">
        <v>43.15552560000001</v>
      </c>
      <c r="L18" s="450">
        <f t="shared" si="1"/>
        <v>19.540366307113118</v>
      </c>
    </row>
    <row r="19" spans="1:12" ht="15.75" hidden="1">
      <c r="A19" s="69"/>
      <c r="B19" s="30"/>
      <c r="C19" s="70"/>
      <c r="D19" s="233" t="s">
        <v>2316</v>
      </c>
      <c r="E19" s="399">
        <f>'Тарифные ставки'!$B$5</f>
        <v>137.4825</v>
      </c>
      <c r="F19" s="399">
        <v>0.06</v>
      </c>
      <c r="G19" s="399">
        <f t="shared" si="0"/>
        <v>8.248949999999999</v>
      </c>
      <c r="H19" s="399"/>
      <c r="I19" s="399"/>
      <c r="J19" s="399"/>
      <c r="K19" s="479"/>
      <c r="L19" s="490"/>
    </row>
    <row r="20" spans="1:12" ht="32.25" customHeight="1">
      <c r="A20" s="71" t="s">
        <v>106</v>
      </c>
      <c r="B20" s="608" t="s">
        <v>107</v>
      </c>
      <c r="C20" s="72" t="s">
        <v>105</v>
      </c>
      <c r="D20" s="228" t="s">
        <v>2316</v>
      </c>
      <c r="E20" s="400">
        <f>'Тарифные ставки'!$B$5</f>
        <v>137.4825</v>
      </c>
      <c r="F20" s="400">
        <v>0.05</v>
      </c>
      <c r="G20" s="400">
        <f t="shared" si="0"/>
        <v>6.874124999999999</v>
      </c>
      <c r="H20" s="400">
        <f>SUM(G20:G21)*'Тарифные ставки'!$B$13</f>
        <v>35.470485</v>
      </c>
      <c r="I20" s="400">
        <f>H20*'Тарифные ставки'!$B$14*'Тарифные ставки'!$B$15</f>
        <v>42.990227819999994</v>
      </c>
      <c r="J20" s="400">
        <f>I20-I20/'Тарифные ставки'!$B$15</f>
        <v>7.16503797</v>
      </c>
      <c r="K20" s="478">
        <v>35.96293800000001</v>
      </c>
      <c r="L20" s="450">
        <f t="shared" si="1"/>
        <v>19.540366307113132</v>
      </c>
    </row>
    <row r="21" spans="1:12" ht="15.75" hidden="1">
      <c r="A21" s="69"/>
      <c r="B21" s="609"/>
      <c r="C21" s="70"/>
      <c r="D21" s="233" t="s">
        <v>2316</v>
      </c>
      <c r="E21" s="399">
        <f>'Тарифные ставки'!$B$5</f>
        <v>137.4825</v>
      </c>
      <c r="F21" s="399">
        <v>0.05</v>
      </c>
      <c r="G21" s="399">
        <f t="shared" si="0"/>
        <v>6.874124999999999</v>
      </c>
      <c r="H21" s="399"/>
      <c r="I21" s="399"/>
      <c r="J21" s="399"/>
      <c r="K21" s="479"/>
      <c r="L21" s="490"/>
    </row>
    <row r="22" spans="1:12" ht="36" customHeight="1">
      <c r="A22" s="71" t="s">
        <v>108</v>
      </c>
      <c r="B22" s="608" t="s">
        <v>2450</v>
      </c>
      <c r="C22" s="72" t="s">
        <v>105</v>
      </c>
      <c r="D22" s="228" t="s">
        <v>2316</v>
      </c>
      <c r="E22" s="400">
        <f>'Тарифные ставки'!$B$5</f>
        <v>137.4825</v>
      </c>
      <c r="F22" s="400">
        <v>0.2</v>
      </c>
      <c r="G22" s="400">
        <f t="shared" si="0"/>
        <v>27.496499999999997</v>
      </c>
      <c r="H22" s="400">
        <f>SUM(G22:G23)*'Тарифные ставки'!$B$13</f>
        <v>141.88194</v>
      </c>
      <c r="I22" s="400">
        <f>H22*'Тарифные ставки'!$B$14*'Тарифные ставки'!$B$15</f>
        <v>171.96091127999998</v>
      </c>
      <c r="J22" s="400">
        <f>I22-I22/'Тарифные ставки'!$B$15</f>
        <v>28.66015188</v>
      </c>
      <c r="K22" s="478">
        <v>143.85175200000003</v>
      </c>
      <c r="L22" s="450">
        <f t="shared" si="1"/>
        <v>19.540366307113132</v>
      </c>
    </row>
    <row r="23" spans="1:12" ht="15.75" hidden="1">
      <c r="A23" s="69"/>
      <c r="B23" s="609"/>
      <c r="C23" s="70"/>
      <c r="D23" s="233" t="s">
        <v>2316</v>
      </c>
      <c r="E23" s="399">
        <f>'Тарифные ставки'!$B$5</f>
        <v>137.4825</v>
      </c>
      <c r="F23" s="399">
        <v>0.2</v>
      </c>
      <c r="G23" s="399">
        <f t="shared" si="0"/>
        <v>27.496499999999997</v>
      </c>
      <c r="H23" s="399"/>
      <c r="I23" s="399"/>
      <c r="J23" s="399"/>
      <c r="K23" s="479"/>
      <c r="L23" s="490"/>
    </row>
    <row r="24" spans="1:12" ht="21.75" customHeight="1">
      <c r="A24" s="73" t="s">
        <v>109</v>
      </c>
      <c r="B24" s="39" t="s">
        <v>110</v>
      </c>
      <c r="C24" s="74" t="s">
        <v>105</v>
      </c>
      <c r="D24" s="234" t="s">
        <v>2316</v>
      </c>
      <c r="E24" s="398">
        <f>'Тарифные ставки'!$B$5</f>
        <v>137.4825</v>
      </c>
      <c r="F24" s="398">
        <v>0.32</v>
      </c>
      <c r="G24" s="398">
        <f t="shared" si="0"/>
        <v>43.9944</v>
      </c>
      <c r="H24" s="398">
        <f>SUM(G24:G25)*'Тарифные ставки'!$B$13</f>
        <v>227.011104</v>
      </c>
      <c r="I24" s="398">
        <f>H24*'Тарифные ставки'!$B$14*'Тарифные ставки'!$B$15</f>
        <v>275.137458048</v>
      </c>
      <c r="J24" s="400">
        <f>I24-I24/'Тарифные ставки'!$B$15</f>
        <v>45.85624300799998</v>
      </c>
      <c r="K24" s="478">
        <v>230.16280319999998</v>
      </c>
      <c r="L24" s="450">
        <f t="shared" si="1"/>
        <v>19.540366307113175</v>
      </c>
    </row>
    <row r="25" spans="1:12" ht="15.75" hidden="1">
      <c r="A25" s="69"/>
      <c r="B25" s="30"/>
      <c r="C25" s="70"/>
      <c r="D25" s="233" t="s">
        <v>2316</v>
      </c>
      <c r="E25" s="399">
        <f>'Тарифные ставки'!$B$5</f>
        <v>137.4825</v>
      </c>
      <c r="F25" s="399">
        <v>0.32</v>
      </c>
      <c r="G25" s="399">
        <f t="shared" si="0"/>
        <v>43.9944</v>
      </c>
      <c r="H25" s="399"/>
      <c r="I25" s="399"/>
      <c r="J25" s="399"/>
      <c r="K25" s="479"/>
      <c r="L25" s="490"/>
    </row>
    <row r="26" spans="1:12" ht="21.75" customHeight="1">
      <c r="A26" s="67" t="s">
        <v>111</v>
      </c>
      <c r="B26" s="12" t="s">
        <v>112</v>
      </c>
      <c r="C26" s="68" t="s">
        <v>113</v>
      </c>
      <c r="D26" s="237" t="s">
        <v>2316</v>
      </c>
      <c r="E26" s="396">
        <f>'Тарифные ставки'!$B$5</f>
        <v>137.4825</v>
      </c>
      <c r="F26" s="396">
        <v>0.3</v>
      </c>
      <c r="G26" s="396">
        <f t="shared" si="0"/>
        <v>41.244749999999996</v>
      </c>
      <c r="H26" s="396">
        <f>G26*'Тарифные ставки'!$B$13</f>
        <v>106.41145499999999</v>
      </c>
      <c r="I26" s="396">
        <f>H26*'Тарифные ставки'!$B$14*'Тарифные ставки'!$B$15</f>
        <v>128.97068345999998</v>
      </c>
      <c r="J26" s="400">
        <f>I26-I26/'Тарифные ставки'!$B$15</f>
        <v>21.495113909999986</v>
      </c>
      <c r="K26" s="465">
        <v>107.88881400000002</v>
      </c>
      <c r="L26" s="457">
        <f t="shared" si="1"/>
        <v>19.540366307113132</v>
      </c>
    </row>
    <row r="27" spans="1:12" ht="47.25">
      <c r="A27" s="73" t="s">
        <v>114</v>
      </c>
      <c r="B27" s="39" t="s">
        <v>1609</v>
      </c>
      <c r="C27" s="74" t="s">
        <v>115</v>
      </c>
      <c r="D27" s="234" t="s">
        <v>2316</v>
      </c>
      <c r="E27" s="398">
        <f>'Тарифные ставки'!$B$5</f>
        <v>137.4825</v>
      </c>
      <c r="F27" s="398">
        <v>0.25</v>
      </c>
      <c r="G27" s="398">
        <f t="shared" si="0"/>
        <v>34.370625</v>
      </c>
      <c r="H27" s="398">
        <f>G27*'Тарифные ставки'!$B$13</f>
        <v>88.67621249999999</v>
      </c>
      <c r="I27" s="398">
        <f>H27*'Тарифные ставки'!$B$14*'Тарифные ставки'!$B$15</f>
        <v>107.47556954999999</v>
      </c>
      <c r="J27" s="400">
        <f>I27-I27/'Тарифные ставки'!$B$15</f>
        <v>17.912594924999993</v>
      </c>
      <c r="K27" s="480">
        <v>89.907345</v>
      </c>
      <c r="L27" s="491">
        <f t="shared" si="1"/>
        <v>19.54036630711316</v>
      </c>
    </row>
    <row r="28" spans="1:12" ht="15.75">
      <c r="A28" s="73" t="s">
        <v>116</v>
      </c>
      <c r="B28" s="39" t="s">
        <v>2319</v>
      </c>
      <c r="C28" s="74" t="s">
        <v>115</v>
      </c>
      <c r="D28" s="234" t="s">
        <v>2316</v>
      </c>
      <c r="E28" s="398">
        <f>'Тарифные ставки'!$B$5</f>
        <v>137.4825</v>
      </c>
      <c r="F28" s="398">
        <v>0.35</v>
      </c>
      <c r="G28" s="398">
        <f t="shared" si="0"/>
        <v>48.118874999999996</v>
      </c>
      <c r="H28" s="398">
        <f>G28*'Тарифные ставки'!$B$13</f>
        <v>124.14669749999999</v>
      </c>
      <c r="I28" s="398">
        <f>H28*'Тарифные ставки'!$B$14*'Тарифные ставки'!$B$15</f>
        <v>150.46579736999996</v>
      </c>
      <c r="J28" s="400">
        <f>I28-I28/'Тарифные ставки'!$B$15</f>
        <v>25.077632894999994</v>
      </c>
      <c r="K28" s="480">
        <v>125.870283</v>
      </c>
      <c r="L28" s="491">
        <f t="shared" si="1"/>
        <v>19.540366307113132</v>
      </c>
    </row>
    <row r="29" spans="1:12" ht="15.75">
      <c r="A29" s="73" t="s">
        <v>2320</v>
      </c>
      <c r="B29" s="39" t="s">
        <v>2321</v>
      </c>
      <c r="C29" s="74" t="s">
        <v>115</v>
      </c>
      <c r="D29" s="234" t="s">
        <v>2316</v>
      </c>
      <c r="E29" s="398">
        <f>'Тарифные ставки'!$B$5</f>
        <v>137.4825</v>
      </c>
      <c r="F29" s="398">
        <v>0.15</v>
      </c>
      <c r="G29" s="398">
        <f t="shared" si="0"/>
        <v>20.622374999999998</v>
      </c>
      <c r="H29" s="398">
        <f>G29*'Тарифные ставки'!$B$13</f>
        <v>53.205727499999995</v>
      </c>
      <c r="I29" s="398">
        <f>H29*'Тарифные ставки'!$B$14*'Тарифные ставки'!$B$15</f>
        <v>64.48534172999999</v>
      </c>
      <c r="J29" s="400">
        <f>I29-I29/'Тарифные ставки'!$B$15</f>
        <v>10.747556954999993</v>
      </c>
      <c r="K29" s="480">
        <v>53.94440700000001</v>
      </c>
      <c r="L29" s="491">
        <f t="shared" si="1"/>
        <v>19.540366307113132</v>
      </c>
    </row>
    <row r="30" spans="1:12" ht="15.75" hidden="1">
      <c r="A30" s="67" t="s">
        <v>2322</v>
      </c>
      <c r="B30" s="634" t="s">
        <v>2323</v>
      </c>
      <c r="C30" s="68" t="s">
        <v>2324</v>
      </c>
      <c r="D30" s="237" t="s">
        <v>2316</v>
      </c>
      <c r="E30" s="399">
        <f>'Тарифные ставки'!$B$5</f>
        <v>137.4825</v>
      </c>
      <c r="F30" s="396">
        <v>0.16</v>
      </c>
      <c r="G30" s="396">
        <f t="shared" si="0"/>
        <v>21.9972</v>
      </c>
      <c r="H30" s="396">
        <f>SUM(G30:G31)*'Тарифные ставки'!$B$13</f>
        <v>113.505552</v>
      </c>
      <c r="I30" s="399">
        <f>H30*'Тарифные ставки'!$B$14*'Тарифные ставки'!$B$15</f>
        <v>137.568729024</v>
      </c>
      <c r="J30" s="396"/>
      <c r="K30" s="465"/>
      <c r="L30" s="457" t="e">
        <f t="shared" si="1"/>
        <v>#DIV/0!</v>
      </c>
    </row>
    <row r="31" spans="1:12" ht="15.75" hidden="1">
      <c r="A31" s="69"/>
      <c r="B31" s="609"/>
      <c r="C31" s="70"/>
      <c r="D31" s="233" t="s">
        <v>2316</v>
      </c>
      <c r="E31" s="398">
        <f>'Тарифные ставки'!$B$5</f>
        <v>137.4825</v>
      </c>
      <c r="F31" s="399">
        <v>0.16</v>
      </c>
      <c r="G31" s="399">
        <f t="shared" si="0"/>
        <v>21.9972</v>
      </c>
      <c r="H31" s="399"/>
      <c r="I31" s="399">
        <f>H31*'Тарифные ставки'!$B$14*'Тарифные ставки'!$B$15</f>
        <v>0</v>
      </c>
      <c r="J31" s="399"/>
      <c r="K31" s="465"/>
      <c r="L31" s="457" t="e">
        <f t="shared" si="1"/>
        <v>#DIV/0!</v>
      </c>
    </row>
    <row r="32" spans="1:12" ht="15.75" hidden="1">
      <c r="A32" s="67" t="s">
        <v>2325</v>
      </c>
      <c r="B32" s="12" t="s">
        <v>2085</v>
      </c>
      <c r="C32" s="68" t="s">
        <v>2324</v>
      </c>
      <c r="D32" s="228" t="s">
        <v>2316</v>
      </c>
      <c r="E32" s="398">
        <f>'Тарифные ставки'!$B$5</f>
        <v>137.4825</v>
      </c>
      <c r="F32" s="396">
        <v>0.21</v>
      </c>
      <c r="G32" s="396">
        <f t="shared" si="0"/>
        <v>28.871324999999995</v>
      </c>
      <c r="H32" s="396">
        <f>SUM(G32:G33)*'Тарифные ставки'!$B$13</f>
        <v>148.976037</v>
      </c>
      <c r="I32" s="399">
        <f>H32*'Тарифные ставки'!$B$14*'Тарифные ставки'!$B$15</f>
        <v>180.558956844</v>
      </c>
      <c r="J32" s="396"/>
      <c r="K32" s="465"/>
      <c r="L32" s="457" t="e">
        <f t="shared" si="1"/>
        <v>#DIV/0!</v>
      </c>
    </row>
    <row r="33" spans="1:12" ht="15.75" hidden="1">
      <c r="A33" s="69"/>
      <c r="B33" s="30"/>
      <c r="C33" s="70"/>
      <c r="D33" s="233" t="s">
        <v>2316</v>
      </c>
      <c r="E33" s="398">
        <f>'Тарифные ставки'!$B$5</f>
        <v>137.4825</v>
      </c>
      <c r="F33" s="399">
        <v>0.21</v>
      </c>
      <c r="G33" s="399">
        <f t="shared" si="0"/>
        <v>28.871324999999995</v>
      </c>
      <c r="H33" s="399"/>
      <c r="I33" s="399">
        <f>H33*'Тарифные ставки'!$B$14*'Тарифные ставки'!$B$15</f>
        <v>0</v>
      </c>
      <c r="J33" s="399"/>
      <c r="K33" s="465"/>
      <c r="L33" s="457" t="e">
        <f t="shared" si="1"/>
        <v>#DIV/0!</v>
      </c>
    </row>
    <row r="34" spans="1:12" ht="15.75" hidden="1">
      <c r="A34" s="71" t="s">
        <v>2086</v>
      </c>
      <c r="B34" s="608" t="s">
        <v>2087</v>
      </c>
      <c r="C34" s="72" t="s">
        <v>2324</v>
      </c>
      <c r="D34" s="228" t="s">
        <v>2316</v>
      </c>
      <c r="E34" s="398">
        <f>'Тарифные ставки'!$B$5</f>
        <v>137.4825</v>
      </c>
      <c r="F34" s="396">
        <v>0.18</v>
      </c>
      <c r="G34" s="396">
        <f t="shared" si="0"/>
        <v>24.74685</v>
      </c>
      <c r="H34" s="396">
        <f>SUM(G34:G35)*'Тарифные ставки'!$B$13</f>
        <v>127.69374599999999</v>
      </c>
      <c r="I34" s="399">
        <f>H34*'Тарифные ставки'!$B$14*'Тарифные ставки'!$B$15</f>
        <v>154.764820152</v>
      </c>
      <c r="J34" s="396"/>
      <c r="K34" s="465"/>
      <c r="L34" s="457" t="e">
        <f t="shared" si="1"/>
        <v>#DIV/0!</v>
      </c>
    </row>
    <row r="35" spans="1:12" ht="15.75" hidden="1">
      <c r="A35" s="69"/>
      <c r="B35" s="609"/>
      <c r="C35" s="70"/>
      <c r="D35" s="233" t="s">
        <v>2316</v>
      </c>
      <c r="E35" s="398">
        <f>'Тарифные ставки'!$B$5</f>
        <v>137.4825</v>
      </c>
      <c r="F35" s="399">
        <v>0.18</v>
      </c>
      <c r="G35" s="399">
        <f t="shared" si="0"/>
        <v>24.74685</v>
      </c>
      <c r="H35" s="399"/>
      <c r="I35" s="399">
        <f>H35*'Тарифные ставки'!$B$14*'Тарифные ставки'!$B$15</f>
        <v>0</v>
      </c>
      <c r="J35" s="399"/>
      <c r="K35" s="465"/>
      <c r="L35" s="457" t="e">
        <f t="shared" si="1"/>
        <v>#DIV/0!</v>
      </c>
    </row>
    <row r="36" spans="1:12" ht="15.75" hidden="1">
      <c r="A36" s="71" t="s">
        <v>2088</v>
      </c>
      <c r="B36" s="608" t="s">
        <v>2089</v>
      </c>
      <c r="C36" s="72" t="s">
        <v>2090</v>
      </c>
      <c r="D36" s="228" t="s">
        <v>2316</v>
      </c>
      <c r="E36" s="398">
        <f>'Тарифные ставки'!$B$5</f>
        <v>137.4825</v>
      </c>
      <c r="F36" s="396">
        <v>3.1</v>
      </c>
      <c r="G36" s="396">
        <f t="shared" si="0"/>
        <v>426.19575</v>
      </c>
      <c r="H36" s="396">
        <f>SUM(G36:G37)*'Тарифные ставки'!$B$13</f>
        <v>2199.17007</v>
      </c>
      <c r="I36" s="399">
        <f>H36*'Тарифные ставки'!$B$14*'Тарифные ставки'!$B$15</f>
        <v>2665.39412484</v>
      </c>
      <c r="J36" s="396"/>
      <c r="K36" s="465"/>
      <c r="L36" s="457" t="e">
        <f t="shared" si="1"/>
        <v>#DIV/0!</v>
      </c>
    </row>
    <row r="37" spans="1:12" ht="15.75" hidden="1">
      <c r="A37" s="69"/>
      <c r="B37" s="609"/>
      <c r="C37" s="70"/>
      <c r="D37" s="233" t="s">
        <v>2316</v>
      </c>
      <c r="E37" s="398">
        <f>'Тарифные ставки'!$B$5</f>
        <v>137.4825</v>
      </c>
      <c r="F37" s="399">
        <v>3.1</v>
      </c>
      <c r="G37" s="399">
        <f t="shared" si="0"/>
        <v>426.19575</v>
      </c>
      <c r="H37" s="399"/>
      <c r="I37" s="399">
        <f>H37*'Тарифные ставки'!$B$14*'Тарифные ставки'!$B$15</f>
        <v>0</v>
      </c>
      <c r="J37" s="399"/>
      <c r="K37" s="465"/>
      <c r="L37" s="457" t="e">
        <f t="shared" si="1"/>
        <v>#DIV/0!</v>
      </c>
    </row>
    <row r="38" spans="1:12" ht="31.5" hidden="1">
      <c r="A38" s="69"/>
      <c r="B38" s="30" t="s">
        <v>636</v>
      </c>
      <c r="C38" s="70"/>
      <c r="D38" s="37"/>
      <c r="E38" s="398">
        <f>'Тарифные ставки'!$B$5</f>
        <v>137.4825</v>
      </c>
      <c r="F38" s="399"/>
      <c r="G38" s="399"/>
      <c r="H38" s="399"/>
      <c r="I38" s="399">
        <f>H38*'Тарифные ставки'!$B$14*'Тарифные ставки'!$B$15</f>
        <v>0</v>
      </c>
      <c r="J38" s="399"/>
      <c r="K38" s="465"/>
      <c r="L38" s="457" t="e">
        <f t="shared" si="1"/>
        <v>#DIV/0!</v>
      </c>
    </row>
    <row r="39" spans="1:12" ht="15.75" hidden="1">
      <c r="A39" s="67" t="s">
        <v>1442</v>
      </c>
      <c r="B39" s="12" t="s">
        <v>1443</v>
      </c>
      <c r="C39" s="68" t="s">
        <v>2090</v>
      </c>
      <c r="D39" s="228" t="s">
        <v>2316</v>
      </c>
      <c r="E39" s="398">
        <f>'Тарифные ставки'!$B$5</f>
        <v>137.4825</v>
      </c>
      <c r="F39" s="396">
        <v>0.48</v>
      </c>
      <c r="G39" s="396">
        <f aca="true" t="shared" si="2" ref="G39:G49">E39*F39</f>
        <v>65.99159999999999</v>
      </c>
      <c r="H39" s="396">
        <f>SUM(G39:G40)*'Тарифные ставки'!$B$13</f>
        <v>340.51665599999995</v>
      </c>
      <c r="I39" s="399">
        <f>H39*'Тарифные ставки'!$B$14*'Тарифные ставки'!$B$15</f>
        <v>412.7061870719999</v>
      </c>
      <c r="J39" s="396"/>
      <c r="K39" s="465"/>
      <c r="L39" s="457" t="e">
        <f t="shared" si="1"/>
        <v>#DIV/0!</v>
      </c>
    </row>
    <row r="40" spans="1:12" ht="15.75" hidden="1">
      <c r="A40" s="69"/>
      <c r="B40" s="30"/>
      <c r="C40" s="70"/>
      <c r="D40" s="233" t="s">
        <v>2316</v>
      </c>
      <c r="E40" s="398">
        <f>'Тарифные ставки'!$B$5</f>
        <v>137.4825</v>
      </c>
      <c r="F40" s="399">
        <v>0.48</v>
      </c>
      <c r="G40" s="399">
        <f t="shared" si="2"/>
        <v>65.99159999999999</v>
      </c>
      <c r="H40" s="399"/>
      <c r="I40" s="399">
        <f>H40*'Тарифные ставки'!$B$14*'Тарифные ставки'!$B$15</f>
        <v>0</v>
      </c>
      <c r="J40" s="399"/>
      <c r="K40" s="465"/>
      <c r="L40" s="457" t="e">
        <f t="shared" si="1"/>
        <v>#DIV/0!</v>
      </c>
    </row>
    <row r="41" spans="1:12" ht="63" hidden="1">
      <c r="A41" s="73" t="s">
        <v>1444</v>
      </c>
      <c r="B41" s="39" t="s">
        <v>1445</v>
      </c>
      <c r="C41" s="74" t="s">
        <v>812</v>
      </c>
      <c r="D41" s="233" t="s">
        <v>2316</v>
      </c>
      <c r="E41" s="398">
        <f>'Тарифные ставки'!$B$5</f>
        <v>137.4825</v>
      </c>
      <c r="F41" s="398">
        <v>0.88</v>
      </c>
      <c r="G41" s="398">
        <f t="shared" si="2"/>
        <v>120.98459999999999</v>
      </c>
      <c r="H41" s="398">
        <f>G41*'Тарифные ставки'!$B$13</f>
        <v>312.140268</v>
      </c>
      <c r="I41" s="399">
        <f>H41*'Тарифные ставки'!$B$14*'Тарифные ставки'!$B$15</f>
        <v>378.314004816</v>
      </c>
      <c r="J41" s="398"/>
      <c r="K41" s="465"/>
      <c r="L41" s="457" t="e">
        <f t="shared" si="1"/>
        <v>#DIV/0!</v>
      </c>
    </row>
    <row r="42" spans="1:12" ht="31.5" hidden="1">
      <c r="A42" s="73" t="s">
        <v>1446</v>
      </c>
      <c r="B42" s="39" t="s">
        <v>1447</v>
      </c>
      <c r="C42" s="74" t="s">
        <v>182</v>
      </c>
      <c r="D42" s="233" t="s">
        <v>2316</v>
      </c>
      <c r="E42" s="398">
        <f>'Тарифные ставки'!$B$5</f>
        <v>137.4825</v>
      </c>
      <c r="F42" s="398">
        <v>2.13</v>
      </c>
      <c r="G42" s="398">
        <f t="shared" si="2"/>
        <v>292.837725</v>
      </c>
      <c r="H42" s="398">
        <f>G42*'Тарифные ставки'!$B$13</f>
        <v>755.5213305</v>
      </c>
      <c r="I42" s="399">
        <f>H42*'Тарифные ставки'!$B$14*'Тарифные ставки'!$B$15</f>
        <v>915.691852566</v>
      </c>
      <c r="J42" s="398"/>
      <c r="K42" s="465"/>
      <c r="L42" s="457" t="e">
        <f t="shared" si="1"/>
        <v>#DIV/0!</v>
      </c>
    </row>
    <row r="43" spans="1:12" ht="63" hidden="1">
      <c r="A43" s="73" t="s">
        <v>1448</v>
      </c>
      <c r="B43" s="39" t="s">
        <v>1449</v>
      </c>
      <c r="C43" s="74" t="s">
        <v>812</v>
      </c>
      <c r="D43" s="233" t="s">
        <v>2316</v>
      </c>
      <c r="E43" s="398">
        <f>'Тарифные ставки'!$B$5</f>
        <v>137.4825</v>
      </c>
      <c r="F43" s="398">
        <v>1.09</v>
      </c>
      <c r="G43" s="398">
        <f t="shared" si="2"/>
        <v>149.85592499999998</v>
      </c>
      <c r="H43" s="398">
        <f>G43*'Тарифные ставки'!$B$13</f>
        <v>386.62828649999994</v>
      </c>
      <c r="I43" s="399">
        <f>H43*'Тарифные ставки'!$B$14*'Тарифные ставки'!$B$15</f>
        <v>468.5934832379999</v>
      </c>
      <c r="J43" s="398"/>
      <c r="K43" s="465"/>
      <c r="L43" s="457" t="e">
        <f t="shared" si="1"/>
        <v>#DIV/0!</v>
      </c>
    </row>
    <row r="44" spans="1:12" ht="15.75" hidden="1">
      <c r="A44" s="73" t="s">
        <v>1450</v>
      </c>
      <c r="B44" s="39" t="s">
        <v>1451</v>
      </c>
      <c r="C44" s="74" t="s">
        <v>812</v>
      </c>
      <c r="D44" s="233" t="s">
        <v>2316</v>
      </c>
      <c r="E44" s="398">
        <f>'Тарифные ставки'!$B$5</f>
        <v>137.4825</v>
      </c>
      <c r="F44" s="398">
        <v>1.31</v>
      </c>
      <c r="G44" s="398">
        <f t="shared" si="2"/>
        <v>180.10207499999999</v>
      </c>
      <c r="H44" s="398">
        <f>G44*'Тарифные ставки'!$B$13</f>
        <v>464.66335349999997</v>
      </c>
      <c r="I44" s="399">
        <f>H44*'Тарифные ставки'!$B$14*'Тарифные ставки'!$B$15</f>
        <v>563.1719844419999</v>
      </c>
      <c r="J44" s="398"/>
      <c r="K44" s="465"/>
      <c r="L44" s="457" t="e">
        <f t="shared" si="1"/>
        <v>#DIV/0!</v>
      </c>
    </row>
    <row r="45" spans="1:12" ht="63" hidden="1">
      <c r="A45" s="73" t="s">
        <v>1452</v>
      </c>
      <c r="B45" s="39" t="s">
        <v>39</v>
      </c>
      <c r="C45" s="74" t="s">
        <v>182</v>
      </c>
      <c r="D45" s="233" t="s">
        <v>2316</v>
      </c>
      <c r="E45" s="398">
        <f>'Тарифные ставки'!$B$5</f>
        <v>137.4825</v>
      </c>
      <c r="F45" s="398">
        <v>2.49</v>
      </c>
      <c r="G45" s="398">
        <f t="shared" si="2"/>
        <v>342.331425</v>
      </c>
      <c r="H45" s="398">
        <f>G45*'Тарифные ставки'!$B$13</f>
        <v>883.2150765000001</v>
      </c>
      <c r="I45" s="399">
        <f>H45*'Тарифные ставки'!$B$14*'Тарифные ставки'!$B$15</f>
        <v>1070.4566727180002</v>
      </c>
      <c r="J45" s="398"/>
      <c r="K45" s="465"/>
      <c r="L45" s="457" t="e">
        <f t="shared" si="1"/>
        <v>#DIV/0!</v>
      </c>
    </row>
    <row r="46" spans="1:12" ht="15.75" hidden="1">
      <c r="A46" s="73" t="s">
        <v>40</v>
      </c>
      <c r="B46" s="39" t="s">
        <v>41</v>
      </c>
      <c r="C46" s="74" t="s">
        <v>182</v>
      </c>
      <c r="D46" s="234" t="s">
        <v>2316</v>
      </c>
      <c r="E46" s="398">
        <f>'Тарифные ставки'!$B$5</f>
        <v>137.4825</v>
      </c>
      <c r="F46" s="398">
        <v>2.85</v>
      </c>
      <c r="G46" s="398">
        <f t="shared" si="2"/>
        <v>391.82512499999996</v>
      </c>
      <c r="H46" s="398">
        <f>G46*'Тарифные ставки'!$B$13</f>
        <v>1010.9088224999999</v>
      </c>
      <c r="I46" s="399">
        <f>H46*'Тарифные ставки'!$B$14*'Тарифные ставки'!$B$15</f>
        <v>1225.22149287</v>
      </c>
      <c r="J46" s="398"/>
      <c r="K46" s="465"/>
      <c r="L46" s="457" t="e">
        <f t="shared" si="1"/>
        <v>#DIV/0!</v>
      </c>
    </row>
    <row r="47" spans="1:12" ht="15.75" hidden="1">
      <c r="A47" s="71" t="s">
        <v>42</v>
      </c>
      <c r="B47" s="12" t="s">
        <v>43</v>
      </c>
      <c r="C47" s="72" t="s">
        <v>182</v>
      </c>
      <c r="D47" s="237" t="s">
        <v>2316</v>
      </c>
      <c r="E47" s="400">
        <f>'Тарифные ставки'!$B$5</f>
        <v>137.4825</v>
      </c>
      <c r="F47" s="400">
        <v>3.21</v>
      </c>
      <c r="G47" s="400">
        <f t="shared" si="2"/>
        <v>441.31882499999995</v>
      </c>
      <c r="H47" s="400">
        <f>G47*'Тарифные ставки'!$B$13</f>
        <v>1138.6025685</v>
      </c>
      <c r="I47" s="396">
        <f>H47*'Тарифные ставки'!$B$14*'Тарифные ставки'!$B$15</f>
        <v>1379.9863130219999</v>
      </c>
      <c r="J47" s="400"/>
      <c r="K47" s="465"/>
      <c r="L47" s="457" t="e">
        <f t="shared" si="1"/>
        <v>#DIV/0!</v>
      </c>
    </row>
    <row r="48" spans="1:12" ht="31.5">
      <c r="A48" s="71" t="s">
        <v>1607</v>
      </c>
      <c r="B48" s="11" t="s">
        <v>44</v>
      </c>
      <c r="C48" s="72" t="s">
        <v>182</v>
      </c>
      <c r="D48" s="228" t="s">
        <v>2316</v>
      </c>
      <c r="E48" s="400">
        <f>'Тарифные ставки'!$B$5</f>
        <v>137.4825</v>
      </c>
      <c r="F48" s="400">
        <v>0.96</v>
      </c>
      <c r="G48" s="400">
        <f t="shared" si="2"/>
        <v>131.98319999999998</v>
      </c>
      <c r="H48" s="400">
        <f>G48*'Тарифные ставки'!$B$13</f>
        <v>340.51665599999995</v>
      </c>
      <c r="I48" s="400">
        <f>H48*'Тарифные ставки'!$B$14*'Тарифные ставки'!$B$15</f>
        <v>412.7061870719999</v>
      </c>
      <c r="J48" s="400">
        <f>I48-I48/'Тарифные ставки'!$B$15</f>
        <v>68.78436451199997</v>
      </c>
      <c r="K48" s="478">
        <v>345.2442048000001</v>
      </c>
      <c r="L48" s="450">
        <f t="shared" si="1"/>
        <v>19.540366307113118</v>
      </c>
    </row>
    <row r="49" spans="1:12" ht="15.75">
      <c r="A49" s="69"/>
      <c r="B49" s="26" t="s">
        <v>1281</v>
      </c>
      <c r="C49" s="70"/>
      <c r="D49" s="233" t="s">
        <v>2316</v>
      </c>
      <c r="E49" s="399">
        <f>'Тарифные ставки'!$B$5</f>
        <v>137.4825</v>
      </c>
      <c r="F49" s="399">
        <v>1.2</v>
      </c>
      <c r="G49" s="399">
        <f t="shared" si="2"/>
        <v>164.97899999999998</v>
      </c>
      <c r="H49" s="399">
        <f>G49*'Тарифные ставки'!$B$13</f>
        <v>425.64581999999996</v>
      </c>
      <c r="I49" s="399">
        <f>H49*'Тарифные ставки'!$B$14*'Тарифные ставки'!$B$15</f>
        <v>515.8827338399999</v>
      </c>
      <c r="J49" s="399">
        <f>I49-I49/'Тарифные ставки'!$B$15</f>
        <v>85.98045563999995</v>
      </c>
      <c r="K49" s="479">
        <v>431.5552560000001</v>
      </c>
      <c r="L49" s="490">
        <f t="shared" si="1"/>
        <v>19.540366307113132</v>
      </c>
    </row>
    <row r="50" spans="1:12" ht="15.75">
      <c r="A50" s="667" t="s">
        <v>276</v>
      </c>
      <c r="B50" s="608" t="s">
        <v>277</v>
      </c>
      <c r="C50" s="674" t="s">
        <v>278</v>
      </c>
      <c r="D50" s="235" t="s">
        <v>2316</v>
      </c>
      <c r="E50" s="400">
        <f>'Тарифные ставки'!$B$5</f>
        <v>137.4825</v>
      </c>
      <c r="F50" s="400">
        <v>0.3</v>
      </c>
      <c r="G50" s="400">
        <f>E50*F50</f>
        <v>41.244749999999996</v>
      </c>
      <c r="H50" s="400">
        <f>SUM(G50:G51)*'Тарифные ставки'!$B$13</f>
        <v>212.82290999999998</v>
      </c>
      <c r="I50" s="400">
        <f>H50*'Тарифные ставки'!$B$14*'Тарифные ставки'!$B$15</f>
        <v>257.94136691999995</v>
      </c>
      <c r="J50" s="400">
        <f>I50-I50/'Тарифные ставки'!$B$15</f>
        <v>42.99022781999997</v>
      </c>
      <c r="K50" s="478">
        <v>215.77762800000005</v>
      </c>
      <c r="L50" s="450">
        <f t="shared" si="1"/>
        <v>19.540366307113132</v>
      </c>
    </row>
    <row r="51" spans="1:12" ht="15.75">
      <c r="A51" s="660"/>
      <c r="B51" s="609"/>
      <c r="C51" s="675"/>
      <c r="D51" s="233" t="s">
        <v>2316</v>
      </c>
      <c r="E51" s="399">
        <f>'Тарифные ставки'!$B$5</f>
        <v>137.4825</v>
      </c>
      <c r="F51" s="399">
        <v>0.3</v>
      </c>
      <c r="G51" s="399">
        <f>E51*F51</f>
        <v>41.244749999999996</v>
      </c>
      <c r="H51" s="399"/>
      <c r="I51" s="399"/>
      <c r="J51" s="399"/>
      <c r="K51" s="479"/>
      <c r="L51" s="490"/>
    </row>
    <row r="52" spans="1:12" ht="47.25">
      <c r="A52" s="73" t="s">
        <v>279</v>
      </c>
      <c r="B52" s="39" t="s">
        <v>1610</v>
      </c>
      <c r="C52" s="74" t="s">
        <v>280</v>
      </c>
      <c r="D52" s="234" t="s">
        <v>370</v>
      </c>
      <c r="E52" s="398">
        <f>'Тарифные ставки'!$B$9</f>
        <v>184.069</v>
      </c>
      <c r="F52" s="398">
        <v>0.5</v>
      </c>
      <c r="G52" s="398">
        <f>E52*F52</f>
        <v>92.0345</v>
      </c>
      <c r="H52" s="398">
        <f>G52*'Тарифные ставки'!$B$13</f>
        <v>237.44901</v>
      </c>
      <c r="I52" s="398">
        <f>H52*'Тарифные ставки'!$B$14*'Тарифные ставки'!$B$15</f>
        <v>287.78820012</v>
      </c>
      <c r="J52" s="398">
        <f>I52-I52/'Тарифные ставки'!$B$15</f>
        <v>47.96470001999998</v>
      </c>
      <c r="K52" s="480">
        <v>282.00645000000003</v>
      </c>
      <c r="L52" s="491">
        <f t="shared" si="1"/>
        <v>2.0502191066906335</v>
      </c>
    </row>
    <row r="53" spans="1:12" ht="15.75">
      <c r="A53" s="73" t="s">
        <v>281</v>
      </c>
      <c r="B53" s="39" t="s">
        <v>1608</v>
      </c>
      <c r="C53" s="74" t="s">
        <v>280</v>
      </c>
      <c r="D53" s="234" t="s">
        <v>370</v>
      </c>
      <c r="E53" s="398">
        <f>'Тарифные ставки'!$B$9</f>
        <v>184.069</v>
      </c>
      <c r="F53" s="398">
        <v>1.5</v>
      </c>
      <c r="G53" s="398">
        <f>E53*F53</f>
        <v>276.1035</v>
      </c>
      <c r="H53" s="398">
        <f>G53*'Тарифные ставки'!$B$13</f>
        <v>712.34703</v>
      </c>
      <c r="I53" s="398">
        <f>H53*'Тарифные ставки'!$B$14*'Тарифные ставки'!$B$15</f>
        <v>863.36460036</v>
      </c>
      <c r="J53" s="398">
        <f>I53-I53/'Тарифные ставки'!$B$15</f>
        <v>143.89410006000003</v>
      </c>
      <c r="K53" s="480">
        <v>846.0193499999999</v>
      </c>
      <c r="L53" s="491">
        <f t="shared" si="1"/>
        <v>2.0502191066906477</v>
      </c>
    </row>
    <row r="54" spans="1:12" ht="58.5" customHeight="1">
      <c r="A54" s="671" t="s">
        <v>1604</v>
      </c>
      <c r="B54" s="672"/>
      <c r="C54" s="672"/>
      <c r="D54" s="672"/>
      <c r="E54" s="672"/>
      <c r="F54" s="672"/>
      <c r="G54" s="672"/>
      <c r="H54" s="672"/>
      <c r="I54" s="672"/>
      <c r="J54" s="673"/>
      <c r="L54" s="395"/>
    </row>
    <row r="55" spans="1:12" ht="15.75">
      <c r="A55" s="604" t="s">
        <v>1612</v>
      </c>
      <c r="B55" s="604"/>
      <c r="C55" s="604"/>
      <c r="D55" s="604"/>
      <c r="E55" s="604"/>
      <c r="F55" s="604"/>
      <c r="G55" s="604"/>
      <c r="H55" s="604"/>
      <c r="I55" s="604"/>
      <c r="J55" s="604">
        <f>H55*1.1*0.18</f>
        <v>0</v>
      </c>
      <c r="L55" s="395"/>
    </row>
    <row r="56" spans="10:12" ht="15.75">
      <c r="J56" s="376">
        <f>H56*1.1*0.18</f>
        <v>0</v>
      </c>
      <c r="L56" s="395"/>
    </row>
    <row r="57" spans="1:12" ht="63">
      <c r="A57" s="312" t="s">
        <v>83</v>
      </c>
      <c r="B57" s="313" t="s">
        <v>82</v>
      </c>
      <c r="C57" s="313" t="s">
        <v>77</v>
      </c>
      <c r="D57" s="313" t="s">
        <v>81</v>
      </c>
      <c r="E57" s="393" t="s">
        <v>85</v>
      </c>
      <c r="F57" s="393" t="s">
        <v>78</v>
      </c>
      <c r="G57" s="393" t="s">
        <v>79</v>
      </c>
      <c r="H57" s="393" t="s">
        <v>80</v>
      </c>
      <c r="I57" s="394" t="s">
        <v>843</v>
      </c>
      <c r="J57" s="394" t="s">
        <v>2349</v>
      </c>
      <c r="L57" s="395"/>
    </row>
    <row r="58" spans="1:12" ht="47.25">
      <c r="A58" s="73" t="s">
        <v>1031</v>
      </c>
      <c r="B58" s="39" t="s">
        <v>1032</v>
      </c>
      <c r="C58" s="74" t="s">
        <v>1033</v>
      </c>
      <c r="D58" s="234" t="s">
        <v>2308</v>
      </c>
      <c r="E58" s="398">
        <f>'Тарифные ставки'!$B$5</f>
        <v>137.4825</v>
      </c>
      <c r="F58" s="398">
        <v>8</v>
      </c>
      <c r="G58" s="398">
        <f>E58*F58</f>
        <v>1099.86</v>
      </c>
      <c r="H58" s="398">
        <f>G58*'Тарифные ставки'!$B$13</f>
        <v>2837.6387999999997</v>
      </c>
      <c r="I58" s="398">
        <f>H58*'Тарифные ставки'!$B$14*'Тарифные ставки'!$B$15</f>
        <v>3439.2182255999996</v>
      </c>
      <c r="J58" s="398">
        <f>I58-I58/'Тарифные ставки'!$B$15</f>
        <v>573.2030375999998</v>
      </c>
      <c r="K58" s="480">
        <v>2877.03504</v>
      </c>
      <c r="L58" s="491">
        <f t="shared" si="1"/>
        <v>19.54036630711316</v>
      </c>
    </row>
    <row r="59" spans="1:12" ht="47.25">
      <c r="A59" s="71" t="s">
        <v>1034</v>
      </c>
      <c r="B59" s="195" t="s">
        <v>885</v>
      </c>
      <c r="C59" s="217"/>
      <c r="D59" s="24"/>
      <c r="E59" s="474"/>
      <c r="F59" s="474"/>
      <c r="G59" s="400"/>
      <c r="H59" s="400"/>
      <c r="I59" s="400"/>
      <c r="J59" s="400"/>
      <c r="K59" s="478"/>
      <c r="L59" s="450"/>
    </row>
    <row r="60" spans="1:12" ht="15.75">
      <c r="A60" s="67"/>
      <c r="B60" s="14" t="s">
        <v>1036</v>
      </c>
      <c r="C60" s="236" t="s">
        <v>1035</v>
      </c>
      <c r="D60" s="237" t="s">
        <v>2308</v>
      </c>
      <c r="E60" s="396">
        <f>'Тарифные ставки'!$B$5</f>
        <v>137.4825</v>
      </c>
      <c r="F60" s="475">
        <v>1.6</v>
      </c>
      <c r="G60" s="396">
        <f>E60*F60</f>
        <v>219.97199999999998</v>
      </c>
      <c r="H60" s="396">
        <f>G60*'Тарифные ставки'!$B$13</f>
        <v>567.52776</v>
      </c>
      <c r="I60" s="396">
        <f>H60*'Тарифные ставки'!$B$14*'Тарифные ставки'!$B$15</f>
        <v>687.8436451199999</v>
      </c>
      <c r="J60" s="396">
        <f>I60-I60/'Тарифные ставки'!$B$15</f>
        <v>114.64060752</v>
      </c>
      <c r="K60" s="481">
        <v>575.4070080000001</v>
      </c>
      <c r="L60" s="457">
        <f t="shared" si="1"/>
        <v>19.540366307113132</v>
      </c>
    </row>
    <row r="61" spans="1:12" ht="15.75">
      <c r="A61" s="67"/>
      <c r="B61" s="14" t="s">
        <v>637</v>
      </c>
      <c r="C61" s="236"/>
      <c r="D61" s="66"/>
      <c r="E61" s="396">
        <f>'Тарифные ставки'!$B$5</f>
        <v>137.4825</v>
      </c>
      <c r="F61" s="475">
        <v>3.4</v>
      </c>
      <c r="G61" s="396">
        <f aca="true" t="shared" si="3" ref="G61:G77">E61*F61</f>
        <v>467.44049999999993</v>
      </c>
      <c r="H61" s="396">
        <f>G61*'Тарифные ставки'!$B$13</f>
        <v>1205.9964899999998</v>
      </c>
      <c r="I61" s="396">
        <f>H61*'Тарифные ставки'!$B$14*'Тарифные ставки'!$B$15</f>
        <v>1461.6677458799998</v>
      </c>
      <c r="J61" s="396">
        <f>I61-I61/'Тарифные ставки'!$B$15</f>
        <v>243.61129097999992</v>
      </c>
      <c r="K61" s="481">
        <v>1222.739892</v>
      </c>
      <c r="L61" s="457">
        <f t="shared" si="1"/>
        <v>19.54036630711316</v>
      </c>
    </row>
    <row r="62" spans="1:12" ht="15.75">
      <c r="A62" s="67"/>
      <c r="B62" s="14" t="s">
        <v>2395</v>
      </c>
      <c r="C62" s="236"/>
      <c r="D62" s="66"/>
      <c r="E62" s="396">
        <f>'Тарифные ставки'!$B$5</f>
        <v>137.4825</v>
      </c>
      <c r="F62" s="475">
        <v>2.5</v>
      </c>
      <c r="G62" s="396">
        <f t="shared" si="3"/>
        <v>343.70624999999995</v>
      </c>
      <c r="H62" s="396">
        <f>G62*'Тарифные ставки'!$B$13</f>
        <v>886.7621249999999</v>
      </c>
      <c r="I62" s="396">
        <f>H62*'Тарифные ставки'!$B$14*'Тарифные ставки'!$B$15</f>
        <v>1074.7556954999998</v>
      </c>
      <c r="J62" s="396">
        <f>I62-I62/'Тарифные ставки'!$B$15</f>
        <v>179.12594924999996</v>
      </c>
      <c r="K62" s="481">
        <v>899.0734500000002</v>
      </c>
      <c r="L62" s="457">
        <f t="shared" si="1"/>
        <v>19.540366307113118</v>
      </c>
    </row>
    <row r="63" spans="1:12" ht="15.75">
      <c r="A63" s="69"/>
      <c r="B63" s="26" t="s">
        <v>1438</v>
      </c>
      <c r="C63" s="245"/>
      <c r="D63" s="37"/>
      <c r="E63" s="399">
        <f>'Тарифные ставки'!$B$5</f>
        <v>137.4825</v>
      </c>
      <c r="F63" s="466">
        <v>2.8</v>
      </c>
      <c r="G63" s="399">
        <f t="shared" si="3"/>
        <v>384.95099999999996</v>
      </c>
      <c r="H63" s="399">
        <f>G63*'Тарифные ставки'!$B$13</f>
        <v>993.1735799999999</v>
      </c>
      <c r="I63" s="399">
        <f>H63*'Тарифные ставки'!$B$14*'Тарифные ставки'!$B$15</f>
        <v>1203.7263789599997</v>
      </c>
      <c r="J63" s="399">
        <f>I63-I63/'Тарифные ставки'!$B$15</f>
        <v>200.62106315999995</v>
      </c>
      <c r="K63" s="479">
        <v>1006.962264</v>
      </c>
      <c r="L63" s="490">
        <f t="shared" si="1"/>
        <v>19.540366307113132</v>
      </c>
    </row>
    <row r="64" spans="1:12" ht="15.75">
      <c r="A64" s="71" t="s">
        <v>1439</v>
      </c>
      <c r="B64" s="608" t="s">
        <v>1440</v>
      </c>
      <c r="C64" s="72" t="s">
        <v>1441</v>
      </c>
      <c r="D64" s="228" t="s">
        <v>846</v>
      </c>
      <c r="E64" s="400">
        <f>'Тарифные ставки'!$B$4</f>
        <v>148.166</v>
      </c>
      <c r="F64" s="400">
        <v>2.9</v>
      </c>
      <c r="G64" s="400">
        <f t="shared" si="3"/>
        <v>429.6814</v>
      </c>
      <c r="H64" s="400">
        <f>SUM(G64:G65)*'Тарифные ставки'!$B$13</f>
        <v>3165.866142</v>
      </c>
      <c r="I64" s="400">
        <f>H64*'Тарифные ставки'!$B$14*'Тарифные ставки'!$B$15</f>
        <v>3837.0297641039997</v>
      </c>
      <c r="J64" s="400">
        <f>I64-I64/'Тарифные ставки'!$B$15</f>
        <v>639.5049606839998</v>
      </c>
      <c r="K64" s="478">
        <v>3208.675536</v>
      </c>
      <c r="L64" s="450">
        <f t="shared" si="1"/>
        <v>19.58297811835841</v>
      </c>
    </row>
    <row r="65" spans="1:12" ht="15.75">
      <c r="A65" s="67"/>
      <c r="B65" s="634"/>
      <c r="C65" s="68"/>
      <c r="D65" s="238" t="s">
        <v>2308</v>
      </c>
      <c r="E65" s="396">
        <f>'Тарифные ставки'!$B$5</f>
        <v>137.4825</v>
      </c>
      <c r="F65" s="396">
        <v>5.8</v>
      </c>
      <c r="G65" s="396">
        <f t="shared" si="3"/>
        <v>797.3984999999999</v>
      </c>
      <c r="H65" s="396"/>
      <c r="I65" s="396"/>
      <c r="J65" s="396"/>
      <c r="K65" s="481"/>
      <c r="L65" s="457"/>
    </row>
    <row r="66" spans="1:12" ht="15.75">
      <c r="A66" s="67"/>
      <c r="B66" s="14" t="s">
        <v>2265</v>
      </c>
      <c r="C66" s="68"/>
      <c r="D66" s="237" t="s">
        <v>846</v>
      </c>
      <c r="E66" s="396">
        <f>'Тарифные ставки'!$B$4</f>
        <v>148.166</v>
      </c>
      <c r="F66" s="396">
        <v>4</v>
      </c>
      <c r="G66" s="396">
        <f t="shared" si="3"/>
        <v>592.664</v>
      </c>
      <c r="H66" s="396">
        <f>SUM(G66:G67)*'Тарифные ставки'!$B$13</f>
        <v>4331.241435</v>
      </c>
      <c r="I66" s="396">
        <f>H66*'Тарифные ставки'!$B$14*'Тарифные ставки'!$B$15</f>
        <v>5249.46461922</v>
      </c>
      <c r="J66" s="396">
        <f>I66-I66/'Тарифные ставки'!$B$15</f>
        <v>874.91076987</v>
      </c>
      <c r="K66" s="481">
        <v>4389.796422</v>
      </c>
      <c r="L66" s="457">
        <f t="shared" si="1"/>
        <v>19.58332721106764</v>
      </c>
    </row>
    <row r="67" spans="1:12" ht="15.75" hidden="1">
      <c r="A67" s="67"/>
      <c r="B67" s="14"/>
      <c r="C67" s="68"/>
      <c r="D67" s="238" t="s">
        <v>2308</v>
      </c>
      <c r="E67" s="396">
        <f>'Тарифные ставки'!$B$5</f>
        <v>137.4825</v>
      </c>
      <c r="F67" s="396">
        <v>7.9</v>
      </c>
      <c r="G67" s="396">
        <f t="shared" si="3"/>
        <v>1086.11175</v>
      </c>
      <c r="H67" s="396"/>
      <c r="I67" s="396"/>
      <c r="J67" s="396"/>
      <c r="K67" s="481"/>
      <c r="L67" s="457"/>
    </row>
    <row r="68" spans="1:12" ht="15.75" hidden="1">
      <c r="A68" s="67"/>
      <c r="B68" s="14" t="s">
        <v>2266</v>
      </c>
      <c r="C68" s="68"/>
      <c r="D68" s="237" t="s">
        <v>846</v>
      </c>
      <c r="E68" s="396">
        <v>85.02</v>
      </c>
      <c r="F68" s="396">
        <v>5</v>
      </c>
      <c r="G68" s="396">
        <f t="shared" si="3"/>
        <v>425.09999999999997</v>
      </c>
      <c r="H68" s="396">
        <f>SUM(G68:G69)*'Тарифные ставки'!$B$13</f>
        <v>3154.55826</v>
      </c>
      <c r="I68" s="396"/>
      <c r="J68" s="396"/>
      <c r="K68" s="481"/>
      <c r="L68" s="457"/>
    </row>
    <row r="69" spans="1:12" ht="15.75" hidden="1">
      <c r="A69" s="67"/>
      <c r="B69" s="14"/>
      <c r="C69" s="68"/>
      <c r="D69" s="238" t="s">
        <v>2308</v>
      </c>
      <c r="E69" s="396">
        <v>78.97</v>
      </c>
      <c r="F69" s="396">
        <v>10.1</v>
      </c>
      <c r="G69" s="396">
        <f t="shared" si="3"/>
        <v>797.597</v>
      </c>
      <c r="H69" s="396"/>
      <c r="I69" s="396"/>
      <c r="J69" s="396"/>
      <c r="K69" s="481"/>
      <c r="L69" s="457"/>
    </row>
    <row r="70" spans="1:12" ht="15.75" hidden="1">
      <c r="A70" s="67"/>
      <c r="B70" s="14" t="s">
        <v>2267</v>
      </c>
      <c r="C70" s="68"/>
      <c r="D70" s="237" t="s">
        <v>846</v>
      </c>
      <c r="E70" s="396">
        <v>85.02</v>
      </c>
      <c r="F70" s="396">
        <v>6.1</v>
      </c>
      <c r="G70" s="396">
        <f t="shared" si="3"/>
        <v>518.622</v>
      </c>
      <c r="H70" s="396">
        <f>SUM(G70:G71)*'Тарифные ставки'!$B$13</f>
        <v>3823.7044800000003</v>
      </c>
      <c r="I70" s="396"/>
      <c r="J70" s="396"/>
      <c r="K70" s="481"/>
      <c r="L70" s="457"/>
    </row>
    <row r="71" spans="1:12" ht="15.75" hidden="1">
      <c r="A71" s="67"/>
      <c r="B71" s="14"/>
      <c r="C71" s="68"/>
      <c r="D71" s="238" t="s">
        <v>2308</v>
      </c>
      <c r="E71" s="396">
        <v>78.97</v>
      </c>
      <c r="F71" s="396">
        <v>12.2</v>
      </c>
      <c r="G71" s="396">
        <f t="shared" si="3"/>
        <v>963.434</v>
      </c>
      <c r="H71" s="396"/>
      <c r="I71" s="396"/>
      <c r="J71" s="396"/>
      <c r="K71" s="481"/>
      <c r="L71" s="457"/>
    </row>
    <row r="72" spans="1:12" ht="15.75" hidden="1">
      <c r="A72" s="67"/>
      <c r="B72" s="14" t="s">
        <v>2268</v>
      </c>
      <c r="C72" s="68"/>
      <c r="D72" s="237" t="s">
        <v>846</v>
      </c>
      <c r="E72" s="396">
        <v>85.02</v>
      </c>
      <c r="F72" s="396">
        <v>7.15</v>
      </c>
      <c r="G72" s="396">
        <f t="shared" si="3"/>
        <v>607.893</v>
      </c>
      <c r="H72" s="396">
        <f>SUM(G72:G73)*'Тарифные ставки'!$B$13</f>
        <v>4481.88312</v>
      </c>
      <c r="I72" s="396"/>
      <c r="J72" s="396"/>
      <c r="K72" s="481"/>
      <c r="L72" s="457"/>
    </row>
    <row r="73" spans="1:12" ht="15.75" hidden="1">
      <c r="A73" s="67"/>
      <c r="B73" s="14"/>
      <c r="C73" s="68"/>
      <c r="D73" s="238" t="s">
        <v>2308</v>
      </c>
      <c r="E73" s="396">
        <v>78.97</v>
      </c>
      <c r="F73" s="396">
        <v>14.3</v>
      </c>
      <c r="G73" s="396">
        <f t="shared" si="3"/>
        <v>1129.271</v>
      </c>
      <c r="H73" s="396"/>
      <c r="I73" s="396"/>
      <c r="J73" s="396"/>
      <c r="K73" s="481"/>
      <c r="L73" s="457"/>
    </row>
    <row r="74" spans="1:12" ht="15.75" hidden="1">
      <c r="A74" s="67"/>
      <c r="B74" s="14" t="s">
        <v>2269</v>
      </c>
      <c r="C74" s="68"/>
      <c r="D74" s="237" t="s">
        <v>846</v>
      </c>
      <c r="E74" s="396">
        <v>85.02</v>
      </c>
      <c r="F74" s="396">
        <v>8.4</v>
      </c>
      <c r="G74" s="396">
        <f t="shared" si="3"/>
        <v>714.168</v>
      </c>
      <c r="H74" s="396">
        <f>SUM(G74:G75)*'Тарифные ставки'!$B$13</f>
        <v>5183.93208</v>
      </c>
      <c r="I74" s="396"/>
      <c r="J74" s="396"/>
      <c r="K74" s="481"/>
      <c r="L74" s="457"/>
    </row>
    <row r="75" spans="1:12" ht="15.75" hidden="1">
      <c r="A75" s="67"/>
      <c r="B75" s="14"/>
      <c r="C75" s="68"/>
      <c r="D75" s="238" t="s">
        <v>2308</v>
      </c>
      <c r="E75" s="396">
        <v>78.97</v>
      </c>
      <c r="F75" s="396">
        <v>16.4</v>
      </c>
      <c r="G75" s="396">
        <f t="shared" si="3"/>
        <v>1295.108</v>
      </c>
      <c r="H75" s="396"/>
      <c r="I75" s="396"/>
      <c r="J75" s="396"/>
      <c r="K75" s="481"/>
      <c r="L75" s="457"/>
    </row>
    <row r="76" spans="1:12" ht="15.75" hidden="1">
      <c r="A76" s="67"/>
      <c r="B76" s="14" t="s">
        <v>2270</v>
      </c>
      <c r="C76" s="68"/>
      <c r="D76" s="237" t="s">
        <v>846</v>
      </c>
      <c r="E76" s="396">
        <v>85.02</v>
      </c>
      <c r="F76" s="396">
        <v>9.5</v>
      </c>
      <c r="G76" s="396">
        <f t="shared" si="3"/>
        <v>807.6899999999999</v>
      </c>
      <c r="H76" s="396">
        <f>SUM(G76:G77)*'Тарифные ставки'!$B$13</f>
        <v>5853.078299999999</v>
      </c>
      <c r="I76" s="396"/>
      <c r="J76" s="396"/>
      <c r="K76" s="481"/>
      <c r="L76" s="457"/>
    </row>
    <row r="77" spans="1:12" ht="15.75" hidden="1">
      <c r="A77" s="67"/>
      <c r="B77" s="14"/>
      <c r="C77" s="68"/>
      <c r="D77" s="238" t="s">
        <v>2308</v>
      </c>
      <c r="E77" s="396">
        <v>78.97</v>
      </c>
      <c r="F77" s="396">
        <v>18.5</v>
      </c>
      <c r="G77" s="396">
        <f t="shared" si="3"/>
        <v>1460.945</v>
      </c>
      <c r="H77" s="396"/>
      <c r="I77" s="396"/>
      <c r="J77" s="396"/>
      <c r="K77" s="481"/>
      <c r="L77" s="457"/>
    </row>
    <row r="78" spans="1:12" ht="31.5">
      <c r="A78" s="349"/>
      <c r="B78" s="349" t="s">
        <v>2271</v>
      </c>
      <c r="C78" s="349"/>
      <c r="D78" s="349"/>
      <c r="E78" s="399"/>
      <c r="F78" s="399"/>
      <c r="G78" s="399"/>
      <c r="H78" s="399"/>
      <c r="I78" s="399"/>
      <c r="J78" s="399"/>
      <c r="K78" s="479"/>
      <c r="L78" s="490"/>
    </row>
    <row r="79" spans="1:12" ht="47.25">
      <c r="A79" s="71" t="s">
        <v>2272</v>
      </c>
      <c r="B79" s="11" t="s">
        <v>2273</v>
      </c>
      <c r="C79" s="72" t="s">
        <v>2274</v>
      </c>
      <c r="D79" s="228" t="s">
        <v>846</v>
      </c>
      <c r="E79" s="400">
        <f>'Тарифные ставки'!$B$4</f>
        <v>148.166</v>
      </c>
      <c r="F79" s="400">
        <v>0.8</v>
      </c>
      <c r="G79" s="400">
        <f>E79*F79</f>
        <v>118.53280000000001</v>
      </c>
      <c r="H79" s="400">
        <f>SUM(G79:G80)*'Тарифные ставки'!$B$13</f>
        <v>589.5785040000001</v>
      </c>
      <c r="I79" s="400">
        <f>H79*'Тарифные ставки'!$B$14*'Тарифные ставки'!$B$15</f>
        <v>714.5691468480001</v>
      </c>
      <c r="J79" s="400">
        <f>I79-I79/'Тарифные ставки'!$B$15</f>
        <v>119.09485780800003</v>
      </c>
      <c r="K79" s="478">
        <v>597.4483680000001</v>
      </c>
      <c r="L79" s="450">
        <f aca="true" t="shared" si="4" ref="L79:L134">I79/K79*100-100</f>
        <v>19.603497995997543</v>
      </c>
    </row>
    <row r="80" spans="1:12" ht="15.75" hidden="1">
      <c r="A80" s="67"/>
      <c r="B80" s="12"/>
      <c r="C80" s="68"/>
      <c r="D80" s="238" t="s">
        <v>2308</v>
      </c>
      <c r="E80" s="396">
        <f>'Тарифные ставки'!$B$5</f>
        <v>137.4825</v>
      </c>
      <c r="F80" s="396">
        <v>0.8</v>
      </c>
      <c r="G80" s="396">
        <f>E80*F80</f>
        <v>109.98599999999999</v>
      </c>
      <c r="H80" s="396"/>
      <c r="I80" s="396"/>
      <c r="J80" s="396"/>
      <c r="K80" s="481"/>
      <c r="L80" s="457"/>
    </row>
    <row r="81" spans="1:12" ht="15.75">
      <c r="A81" s="67"/>
      <c r="B81" s="14" t="s">
        <v>2275</v>
      </c>
      <c r="C81" s="68"/>
      <c r="D81" s="237" t="s">
        <v>846</v>
      </c>
      <c r="E81" s="396">
        <f>'Тарифные ставки'!$B$4</f>
        <v>148.166</v>
      </c>
      <c r="F81" s="396">
        <v>1.2</v>
      </c>
      <c r="G81" s="396">
        <f>E81*F81</f>
        <v>177.79919999999998</v>
      </c>
      <c r="H81" s="396">
        <f>SUM(G81:G82)*'Тарифные ставки'!$B$13</f>
        <v>884.367756</v>
      </c>
      <c r="I81" s="396">
        <f>H81*'Тарифные ставки'!$B$14*'Тарифные ставки'!$B$15</f>
        <v>1071.853720272</v>
      </c>
      <c r="J81" s="396">
        <f>I81-I81/'Тарифные ставки'!$B$15</f>
        <v>178.642286712</v>
      </c>
      <c r="K81" s="481">
        <v>896.172552</v>
      </c>
      <c r="L81" s="457">
        <f t="shared" si="4"/>
        <v>19.603497995997515</v>
      </c>
    </row>
    <row r="82" spans="1:12" ht="15.75" hidden="1">
      <c r="A82" s="67"/>
      <c r="B82" s="14"/>
      <c r="C82" s="68"/>
      <c r="D82" s="237" t="s">
        <v>2308</v>
      </c>
      <c r="E82" s="396">
        <f>'Тарифные ставки'!$B$5</f>
        <v>137.4825</v>
      </c>
      <c r="F82" s="396">
        <v>1.2</v>
      </c>
      <c r="G82" s="396">
        <f>E82*F82</f>
        <v>164.97899999999998</v>
      </c>
      <c r="H82" s="396"/>
      <c r="I82" s="396"/>
      <c r="J82" s="396"/>
      <c r="K82" s="481"/>
      <c r="L82" s="457"/>
    </row>
    <row r="83" spans="1:12" ht="31.5">
      <c r="A83" s="349"/>
      <c r="B83" s="349" t="s">
        <v>2271</v>
      </c>
      <c r="C83" s="349"/>
      <c r="D83" s="349"/>
      <c r="E83" s="399"/>
      <c r="F83" s="399"/>
      <c r="G83" s="399"/>
      <c r="H83" s="399"/>
      <c r="I83" s="399"/>
      <c r="J83" s="399"/>
      <c r="K83" s="479"/>
      <c r="L83" s="490"/>
    </row>
    <row r="84" spans="1:12" ht="15.75">
      <c r="A84" s="71" t="s">
        <v>2276</v>
      </c>
      <c r="B84" s="608" t="s">
        <v>2277</v>
      </c>
      <c r="C84" s="244" t="s">
        <v>2278</v>
      </c>
      <c r="D84" s="228" t="s">
        <v>846</v>
      </c>
      <c r="E84" s="400">
        <f>'Тарифные ставки'!$B$4</f>
        <v>148.166</v>
      </c>
      <c r="F84" s="400">
        <v>3.5</v>
      </c>
      <c r="G84" s="400">
        <f aca="true" t="shared" si="5" ref="G84:G95">E84*F84</f>
        <v>518.581</v>
      </c>
      <c r="H84" s="400">
        <f>SUM(G84:G85)*'Тарифные ставки'!$B$13</f>
        <v>3785.402445</v>
      </c>
      <c r="I84" s="400">
        <f>H84*'Тарифные ставки'!$B$14*'Тарифные ставки'!$B$15</f>
        <v>4587.90776334</v>
      </c>
      <c r="J84" s="400">
        <f>I84-I84/'Тарифные ставки'!$B$15</f>
        <v>764.65129389</v>
      </c>
      <c r="K84" s="478">
        <v>3836.5765020000003</v>
      </c>
      <c r="L84" s="450">
        <f t="shared" si="4"/>
        <v>19.583377548924986</v>
      </c>
    </row>
    <row r="85" spans="1:12" ht="15.75">
      <c r="A85" s="67"/>
      <c r="B85" s="634"/>
      <c r="C85" s="236"/>
      <c r="D85" s="237" t="s">
        <v>2308</v>
      </c>
      <c r="E85" s="396">
        <f>'Тарифные ставки'!$B$5</f>
        <v>137.4825</v>
      </c>
      <c r="F85" s="475">
        <v>6.9</v>
      </c>
      <c r="G85" s="396">
        <f t="shared" si="5"/>
        <v>948.62925</v>
      </c>
      <c r="H85" s="396"/>
      <c r="I85" s="396"/>
      <c r="J85" s="396"/>
      <c r="K85" s="481"/>
      <c r="L85" s="457"/>
    </row>
    <row r="86" spans="1:12" ht="15.75">
      <c r="A86" s="67"/>
      <c r="B86" s="14" t="s">
        <v>2265</v>
      </c>
      <c r="C86" s="236"/>
      <c r="D86" s="237" t="s">
        <v>846</v>
      </c>
      <c r="E86" s="396">
        <f>'Тарифные ставки'!$B$4</f>
        <v>148.166</v>
      </c>
      <c r="F86" s="396">
        <v>4</v>
      </c>
      <c r="G86" s="396">
        <f t="shared" si="5"/>
        <v>592.664</v>
      </c>
      <c r="H86" s="396">
        <f>SUM(G86:G87)*'Тарифные ставки'!$B$13</f>
        <v>4331.241435</v>
      </c>
      <c r="I86" s="396">
        <f>H86*'Тарифные ставки'!$B$14*'Тарифные ставки'!$B$15</f>
        <v>5249.46461922</v>
      </c>
      <c r="J86" s="396">
        <f>I86-I86/'Тарифные ставки'!$B$15</f>
        <v>874.91076987</v>
      </c>
      <c r="K86" s="481">
        <v>4389.796422</v>
      </c>
      <c r="L86" s="457">
        <f t="shared" si="4"/>
        <v>19.58332721106764</v>
      </c>
    </row>
    <row r="87" spans="1:12" ht="15.75" hidden="1">
      <c r="A87" s="67"/>
      <c r="B87" s="14"/>
      <c r="C87" s="236"/>
      <c r="D87" s="237" t="s">
        <v>2308</v>
      </c>
      <c r="E87" s="396">
        <f>'Тарифные ставки'!$B$5</f>
        <v>137.4825</v>
      </c>
      <c r="F87" s="396">
        <v>7.9</v>
      </c>
      <c r="G87" s="396">
        <f t="shared" si="5"/>
        <v>1086.11175</v>
      </c>
      <c r="H87" s="396"/>
      <c r="I87" s="396"/>
      <c r="J87" s="396"/>
      <c r="K87" s="481"/>
      <c r="L87" s="457"/>
    </row>
    <row r="88" spans="1:12" ht="15.75" hidden="1">
      <c r="A88" s="67"/>
      <c r="B88" s="14" t="s">
        <v>2266</v>
      </c>
      <c r="C88" s="236"/>
      <c r="D88" s="237" t="s">
        <v>846</v>
      </c>
      <c r="E88" s="396">
        <v>85.02</v>
      </c>
      <c r="F88" s="396">
        <v>4.5</v>
      </c>
      <c r="G88" s="396">
        <f t="shared" si="5"/>
        <v>382.59</v>
      </c>
      <c r="H88" s="396">
        <f>SUM(G88:G89)*'Тарифные ставки'!$B$13</f>
        <v>2800.39134</v>
      </c>
      <c r="I88" s="396"/>
      <c r="J88" s="396"/>
      <c r="K88" s="481"/>
      <c r="L88" s="457"/>
    </row>
    <row r="89" spans="1:12" ht="15.75" hidden="1">
      <c r="A89" s="67"/>
      <c r="B89" s="14"/>
      <c r="C89" s="236"/>
      <c r="D89" s="237" t="s">
        <v>2308</v>
      </c>
      <c r="E89" s="396">
        <v>78.97</v>
      </c>
      <c r="F89" s="396">
        <v>8.9</v>
      </c>
      <c r="G89" s="396">
        <f t="shared" si="5"/>
        <v>702.833</v>
      </c>
      <c r="H89" s="396"/>
      <c r="I89" s="396"/>
      <c r="J89" s="396"/>
      <c r="K89" s="481"/>
      <c r="L89" s="457"/>
    </row>
    <row r="90" spans="1:12" ht="15.75" hidden="1">
      <c r="A90" s="67"/>
      <c r="B90" s="14" t="s">
        <v>2267</v>
      </c>
      <c r="C90" s="236"/>
      <c r="D90" s="237" t="s">
        <v>846</v>
      </c>
      <c r="E90" s="396">
        <v>85.02</v>
      </c>
      <c r="F90" s="396">
        <v>5</v>
      </c>
      <c r="G90" s="396">
        <f t="shared" si="5"/>
        <v>425.09999999999997</v>
      </c>
      <c r="H90" s="396">
        <f>SUM(G90:G91)*'Тарифные ставки'!$B$13</f>
        <v>3093.43548</v>
      </c>
      <c r="I90" s="396"/>
      <c r="J90" s="396"/>
      <c r="K90" s="481"/>
      <c r="L90" s="457"/>
    </row>
    <row r="91" spans="1:12" ht="15.75" hidden="1">
      <c r="A91" s="67"/>
      <c r="B91" s="14"/>
      <c r="C91" s="236"/>
      <c r="D91" s="237" t="s">
        <v>2308</v>
      </c>
      <c r="E91" s="396">
        <v>78.97</v>
      </c>
      <c r="F91" s="396">
        <v>9.8</v>
      </c>
      <c r="G91" s="396">
        <f t="shared" si="5"/>
        <v>773.9060000000001</v>
      </c>
      <c r="H91" s="396"/>
      <c r="I91" s="396"/>
      <c r="J91" s="396"/>
      <c r="K91" s="481"/>
      <c r="L91" s="457"/>
    </row>
    <row r="92" spans="1:12" ht="15.75" hidden="1">
      <c r="A92" s="67"/>
      <c r="B92" s="14" t="s">
        <v>2269</v>
      </c>
      <c r="C92" s="236"/>
      <c r="D92" s="237" t="s">
        <v>846</v>
      </c>
      <c r="E92" s="396">
        <v>85.02</v>
      </c>
      <c r="F92" s="396">
        <v>6</v>
      </c>
      <c r="G92" s="396">
        <f t="shared" si="5"/>
        <v>510.12</v>
      </c>
      <c r="H92" s="396">
        <f>SUM(G92:G93)*'Тарифные ставки'!$B$13</f>
        <v>3761.0208000000002</v>
      </c>
      <c r="I92" s="396"/>
      <c r="J92" s="396"/>
      <c r="K92" s="481"/>
      <c r="L92" s="457"/>
    </row>
    <row r="93" spans="1:12" ht="15.75" hidden="1">
      <c r="A93" s="67"/>
      <c r="B93" s="14"/>
      <c r="C93" s="236"/>
      <c r="D93" s="237" t="s">
        <v>2308</v>
      </c>
      <c r="E93" s="396">
        <v>78.97</v>
      </c>
      <c r="F93" s="396">
        <v>12</v>
      </c>
      <c r="G93" s="396">
        <f t="shared" si="5"/>
        <v>947.64</v>
      </c>
      <c r="H93" s="396"/>
      <c r="I93" s="396"/>
      <c r="J93" s="396"/>
      <c r="K93" s="481"/>
      <c r="L93" s="457"/>
    </row>
    <row r="94" spans="1:12" ht="15.75" hidden="1">
      <c r="A94" s="67"/>
      <c r="B94" s="14" t="s">
        <v>2270</v>
      </c>
      <c r="C94" s="236"/>
      <c r="D94" s="237" t="s">
        <v>846</v>
      </c>
      <c r="E94" s="396">
        <v>85.02</v>
      </c>
      <c r="F94" s="396">
        <v>7</v>
      </c>
      <c r="G94" s="396">
        <f t="shared" si="5"/>
        <v>595.14</v>
      </c>
      <c r="H94" s="396">
        <f>SUM(G94:G95)*'Тарифные ставки'!$B$13</f>
        <v>5814.055799999999</v>
      </c>
      <c r="I94" s="396"/>
      <c r="J94" s="396"/>
      <c r="K94" s="481"/>
      <c r="L94" s="457"/>
    </row>
    <row r="95" spans="1:12" ht="15.75" hidden="1">
      <c r="A95" s="67"/>
      <c r="B95" s="14"/>
      <c r="C95" s="236"/>
      <c r="D95" s="237" t="s">
        <v>2308</v>
      </c>
      <c r="E95" s="396">
        <v>78.97</v>
      </c>
      <c r="F95" s="396">
        <v>21</v>
      </c>
      <c r="G95" s="396">
        <f t="shared" si="5"/>
        <v>1658.37</v>
      </c>
      <c r="H95" s="396"/>
      <c r="I95" s="396"/>
      <c r="J95" s="396"/>
      <c r="K95" s="481"/>
      <c r="L95" s="457"/>
    </row>
    <row r="96" spans="1:12" ht="31.5">
      <c r="A96" s="349"/>
      <c r="B96" s="349" t="s">
        <v>2271</v>
      </c>
      <c r="C96" s="349"/>
      <c r="D96" s="349"/>
      <c r="E96" s="399"/>
      <c r="F96" s="399"/>
      <c r="G96" s="399"/>
      <c r="H96" s="399"/>
      <c r="I96" s="399"/>
      <c r="J96" s="399"/>
      <c r="K96" s="479"/>
      <c r="L96" s="490"/>
    </row>
    <row r="97" spans="1:12" ht="31.5">
      <c r="A97" s="71" t="s">
        <v>2279</v>
      </c>
      <c r="B97" s="11" t="s">
        <v>2027</v>
      </c>
      <c r="C97" s="72" t="s">
        <v>2278</v>
      </c>
      <c r="D97" s="228" t="s">
        <v>846</v>
      </c>
      <c r="E97" s="400">
        <f>'Тарифные ставки'!$B$4</f>
        <v>148.166</v>
      </c>
      <c r="F97" s="400">
        <v>1.7</v>
      </c>
      <c r="G97" s="400">
        <f aca="true" t="shared" si="6" ref="G97:G102">E97*F97</f>
        <v>251.88219999999998</v>
      </c>
      <c r="H97" s="400">
        <f>SUM(G97:G98)*'Тарифные ставки'!$B$13</f>
        <v>1855.8525659999998</v>
      </c>
      <c r="I97" s="400">
        <f>H97*'Тарифные ставки'!$B$14*'Тарифные ставки'!$B$15</f>
        <v>2249.2933099919996</v>
      </c>
      <c r="J97" s="400">
        <f>I97-I97/'Тарифные ставки'!$B$15</f>
        <v>374.88221833199987</v>
      </c>
      <c r="K97" s="478">
        <v>1880.947728</v>
      </c>
      <c r="L97" s="450">
        <f t="shared" si="4"/>
        <v>19.58297811835841</v>
      </c>
    </row>
    <row r="98" spans="1:12" ht="15.75" hidden="1">
      <c r="A98" s="67"/>
      <c r="B98" s="12"/>
      <c r="C98" s="68"/>
      <c r="D98" s="238" t="s">
        <v>2308</v>
      </c>
      <c r="E98" s="396">
        <f>'Тарифные ставки'!$B$5</f>
        <v>137.4825</v>
      </c>
      <c r="F98" s="396">
        <v>3.4</v>
      </c>
      <c r="G98" s="396">
        <f t="shared" si="6"/>
        <v>467.44049999999993</v>
      </c>
      <c r="H98" s="396"/>
      <c r="I98" s="396"/>
      <c r="J98" s="396"/>
      <c r="K98" s="481"/>
      <c r="L98" s="457"/>
    </row>
    <row r="99" spans="1:12" ht="15.75">
      <c r="A99" s="67"/>
      <c r="B99" s="14" t="s">
        <v>1281</v>
      </c>
      <c r="C99" s="68"/>
      <c r="D99" s="237" t="s">
        <v>846</v>
      </c>
      <c r="E99" s="396">
        <f>'Тарифные ставки'!$B$4</f>
        <v>148.166</v>
      </c>
      <c r="F99" s="396">
        <v>2.4</v>
      </c>
      <c r="G99" s="396">
        <f t="shared" si="6"/>
        <v>355.59839999999997</v>
      </c>
      <c r="H99" s="396">
        <f>SUM(G99:G100)*'Тарифные ставки'!$B$13</f>
        <v>2620.0271519999997</v>
      </c>
      <c r="I99" s="396">
        <f>H99*'Тарифные ставки'!$B$14*'Тарифные ставки'!$B$15</f>
        <v>3175.4729082239996</v>
      </c>
      <c r="J99" s="396">
        <f>I99-I99/'Тарифные ставки'!$B$15</f>
        <v>529.2454847039999</v>
      </c>
      <c r="K99" s="481">
        <v>2655.4556159999997</v>
      </c>
      <c r="L99" s="457">
        <f t="shared" si="4"/>
        <v>19.582978118358426</v>
      </c>
    </row>
    <row r="100" spans="1:12" ht="15.75" hidden="1">
      <c r="A100" s="67"/>
      <c r="B100" s="12"/>
      <c r="C100" s="68"/>
      <c r="D100" s="238" t="s">
        <v>2308</v>
      </c>
      <c r="E100" s="396">
        <f>'Тарифные ставки'!$B$5</f>
        <v>137.4825</v>
      </c>
      <c r="F100" s="396">
        <v>4.8</v>
      </c>
      <c r="G100" s="396">
        <f t="shared" si="6"/>
        <v>659.9159999999999</v>
      </c>
      <c r="H100" s="396"/>
      <c r="I100" s="396"/>
      <c r="J100" s="396"/>
      <c r="K100" s="481"/>
      <c r="L100" s="457"/>
    </row>
    <row r="101" spans="1:12" ht="15.75">
      <c r="A101" s="67"/>
      <c r="B101" s="14" t="s">
        <v>569</v>
      </c>
      <c r="C101" s="68"/>
      <c r="D101" s="237" t="s">
        <v>846</v>
      </c>
      <c r="E101" s="396">
        <f>'Тарифные ставки'!$B$4</f>
        <v>148.166</v>
      </c>
      <c r="F101" s="396">
        <v>3.5</v>
      </c>
      <c r="G101" s="396">
        <f t="shared" si="6"/>
        <v>518.581</v>
      </c>
      <c r="H101" s="396">
        <f>SUM(G101:G102)*'Тарифные ставки'!$B$13</f>
        <v>3820.87293</v>
      </c>
      <c r="I101" s="396">
        <f>H101*'Тарифные ставки'!$B$14*'Тарифные ставки'!$B$15</f>
        <v>4630.89799116</v>
      </c>
      <c r="J101" s="396">
        <f>I101-I101/'Тарифные ставки'!$B$15</f>
        <v>771.81633186</v>
      </c>
      <c r="K101" s="481">
        <v>3872.5394399999996</v>
      </c>
      <c r="L101" s="457">
        <f t="shared" si="4"/>
        <v>19.582978118358426</v>
      </c>
    </row>
    <row r="102" spans="1:12" ht="15.75" hidden="1">
      <c r="A102" s="67"/>
      <c r="B102" s="12"/>
      <c r="C102" s="68"/>
      <c r="D102" s="238" t="s">
        <v>2308</v>
      </c>
      <c r="E102" s="396">
        <f>'Тарифные ставки'!$B$5</f>
        <v>137.4825</v>
      </c>
      <c r="F102" s="396">
        <v>7</v>
      </c>
      <c r="G102" s="396">
        <f t="shared" si="6"/>
        <v>962.3774999999999</v>
      </c>
      <c r="H102" s="396"/>
      <c r="I102" s="396"/>
      <c r="J102" s="396"/>
      <c r="K102" s="481"/>
      <c r="L102" s="457"/>
    </row>
    <row r="103" spans="1:12" ht="31.5">
      <c r="A103" s="349"/>
      <c r="B103" s="349" t="s">
        <v>2451</v>
      </c>
      <c r="C103" s="349"/>
      <c r="D103" s="349"/>
      <c r="E103" s="399"/>
      <c r="F103" s="399"/>
      <c r="G103" s="399"/>
      <c r="H103" s="399"/>
      <c r="I103" s="399"/>
      <c r="J103" s="399"/>
      <c r="K103" s="479"/>
      <c r="L103" s="490"/>
    </row>
    <row r="104" spans="1:12" ht="31.5">
      <c r="A104" s="71" t="s">
        <v>2028</v>
      </c>
      <c r="B104" s="11" t="s">
        <v>2029</v>
      </c>
      <c r="C104" s="72" t="s">
        <v>2278</v>
      </c>
      <c r="D104" s="228" t="s">
        <v>846</v>
      </c>
      <c r="E104" s="400">
        <f>'Тарифные ставки'!$B$4</f>
        <v>148.166</v>
      </c>
      <c r="F104" s="400">
        <v>1.1</v>
      </c>
      <c r="G104" s="400">
        <f aca="true" t="shared" si="7" ref="G104:G142">E104*F104</f>
        <v>162.98260000000002</v>
      </c>
      <c r="H104" s="400">
        <f>SUM(G104:G105)*'Тарифные ставки'!$B$13</f>
        <v>1200.845778</v>
      </c>
      <c r="I104" s="400">
        <f>H104*'Тарифные ставки'!$B$14*'Тарифные ставки'!$B$15</f>
        <v>1455.425082936</v>
      </c>
      <c r="J104" s="400">
        <f>I104-I104/'Тарифные ставки'!$B$15</f>
        <v>242.5708471559999</v>
      </c>
      <c r="K104" s="478">
        <v>1217.0838240000003</v>
      </c>
      <c r="L104" s="450">
        <f t="shared" si="4"/>
        <v>19.58297811835841</v>
      </c>
    </row>
    <row r="105" spans="1:12" ht="15.75" hidden="1">
      <c r="A105" s="67"/>
      <c r="B105" s="12"/>
      <c r="C105" s="68"/>
      <c r="D105" s="238" t="s">
        <v>2308</v>
      </c>
      <c r="E105" s="396">
        <f>'Тарифные ставки'!$B$5</f>
        <v>137.4825</v>
      </c>
      <c r="F105" s="396">
        <v>2.2</v>
      </c>
      <c r="G105" s="396">
        <f t="shared" si="7"/>
        <v>302.4615</v>
      </c>
      <c r="H105" s="396"/>
      <c r="I105" s="396"/>
      <c r="J105" s="396"/>
      <c r="K105" s="481"/>
      <c r="L105" s="457"/>
    </row>
    <row r="106" spans="1:12" ht="15.75">
      <c r="A106" s="67"/>
      <c r="B106" s="14" t="s">
        <v>1281</v>
      </c>
      <c r="C106" s="68"/>
      <c r="D106" s="237" t="s">
        <v>846</v>
      </c>
      <c r="E106" s="396">
        <f>'Тарифные ставки'!$B$4</f>
        <v>148.166</v>
      </c>
      <c r="F106" s="396">
        <v>1.6</v>
      </c>
      <c r="G106" s="396">
        <f t="shared" si="7"/>
        <v>237.06560000000002</v>
      </c>
      <c r="H106" s="396">
        <f>SUM(G106:G107)*'Тарифные ставки'!$B$13</f>
        <v>1746.684768</v>
      </c>
      <c r="I106" s="396">
        <f>H106*'Тарифные ставки'!$B$14*'Тарифные ставки'!$B$15</f>
        <v>2116.981938816</v>
      </c>
      <c r="J106" s="396">
        <f>I106-I106/'Тарифные ставки'!$B$15</f>
        <v>352.83032313599983</v>
      </c>
      <c r="K106" s="481">
        <v>1770.3037440000003</v>
      </c>
      <c r="L106" s="457">
        <f t="shared" si="4"/>
        <v>19.58297811835841</v>
      </c>
    </row>
    <row r="107" spans="1:12" ht="15.75" hidden="1">
      <c r="A107" s="67"/>
      <c r="B107" s="12"/>
      <c r="C107" s="68"/>
      <c r="D107" s="238" t="s">
        <v>2308</v>
      </c>
      <c r="E107" s="396">
        <f>'Тарифные ставки'!$B$5</f>
        <v>137.4825</v>
      </c>
      <c r="F107" s="396">
        <v>3.2</v>
      </c>
      <c r="G107" s="396">
        <f t="shared" si="7"/>
        <v>439.94399999999996</v>
      </c>
      <c r="H107" s="396"/>
      <c r="I107" s="396"/>
      <c r="J107" s="396"/>
      <c r="K107" s="481"/>
      <c r="L107" s="457"/>
    </row>
    <row r="108" spans="1:12" ht="15.75">
      <c r="A108" s="67"/>
      <c r="B108" s="14" t="s">
        <v>569</v>
      </c>
      <c r="C108" s="68"/>
      <c r="D108" s="237" t="s">
        <v>846</v>
      </c>
      <c r="E108" s="396">
        <f>'Тарифные ставки'!$B$4</f>
        <v>148.166</v>
      </c>
      <c r="F108" s="396">
        <v>2.1</v>
      </c>
      <c r="G108" s="396">
        <f t="shared" si="7"/>
        <v>311.1486</v>
      </c>
      <c r="H108" s="396">
        <f>SUM(G108:G109)*'Тарифные ставки'!$B$13</f>
        <v>2292.523758</v>
      </c>
      <c r="I108" s="396">
        <f>H108*'Тарифные ставки'!$B$14*'Тарифные ставки'!$B$15</f>
        <v>2778.538794696</v>
      </c>
      <c r="J108" s="396">
        <f>I108-I108/'Тарифные ставки'!$B$15</f>
        <v>463.089799116</v>
      </c>
      <c r="K108" s="481">
        <v>2323.5236640000003</v>
      </c>
      <c r="L108" s="457">
        <f t="shared" si="4"/>
        <v>19.58297811835841</v>
      </c>
    </row>
    <row r="109" spans="1:12" ht="15.75" hidden="1">
      <c r="A109" s="69"/>
      <c r="B109" s="30"/>
      <c r="C109" s="70"/>
      <c r="D109" s="239" t="s">
        <v>2308</v>
      </c>
      <c r="E109" s="399">
        <f>'Тарифные ставки'!$B$5</f>
        <v>137.4825</v>
      </c>
      <c r="F109" s="399">
        <v>4.2</v>
      </c>
      <c r="G109" s="399">
        <f t="shared" si="7"/>
        <v>577.4264999999999</v>
      </c>
      <c r="H109" s="399"/>
      <c r="I109" s="399"/>
      <c r="J109" s="399"/>
      <c r="K109" s="479"/>
      <c r="L109" s="490"/>
    </row>
    <row r="110" spans="1:12" ht="36" customHeight="1">
      <c r="A110" s="71" t="s">
        <v>2030</v>
      </c>
      <c r="B110" s="608" t="s">
        <v>1613</v>
      </c>
      <c r="C110" s="72" t="s">
        <v>1816</v>
      </c>
      <c r="D110" s="228" t="s">
        <v>846</v>
      </c>
      <c r="E110" s="400">
        <f>'Тарифные ставки'!$B$4</f>
        <v>148.166</v>
      </c>
      <c r="F110" s="400">
        <v>1.55</v>
      </c>
      <c r="G110" s="400">
        <f t="shared" si="7"/>
        <v>229.6573</v>
      </c>
      <c r="H110" s="400">
        <f>SUM(G110:G111)*'Тарифные ставки'!$B$13</f>
        <v>1692.1008689999999</v>
      </c>
      <c r="I110" s="400">
        <f>H110*'Тарифные ставки'!$B$14*'Тарифные ставки'!$B$15</f>
        <v>2050.8262532279996</v>
      </c>
      <c r="J110" s="400">
        <f>I110-I110/'Тарифные ставки'!$B$15</f>
        <v>341.80437553799993</v>
      </c>
      <c r="K110" s="478">
        <v>1714.9817520000004</v>
      </c>
      <c r="L110" s="450">
        <f t="shared" si="4"/>
        <v>19.582978118358383</v>
      </c>
    </row>
    <row r="111" spans="1:12" ht="15.75" hidden="1">
      <c r="A111" s="67"/>
      <c r="B111" s="634"/>
      <c r="C111" s="68"/>
      <c r="D111" s="238" t="s">
        <v>2308</v>
      </c>
      <c r="E111" s="396">
        <f>'Тарифные ставки'!$B$5</f>
        <v>137.4825</v>
      </c>
      <c r="F111" s="396">
        <v>3.1</v>
      </c>
      <c r="G111" s="396">
        <f t="shared" si="7"/>
        <v>426.19575</v>
      </c>
      <c r="H111" s="396"/>
      <c r="I111" s="396"/>
      <c r="J111" s="396"/>
      <c r="K111" s="481"/>
      <c r="L111" s="457"/>
    </row>
    <row r="112" spans="1:12" ht="15.75">
      <c r="A112" s="67"/>
      <c r="B112" s="14" t="s">
        <v>2265</v>
      </c>
      <c r="C112" s="68"/>
      <c r="D112" s="237" t="s">
        <v>846</v>
      </c>
      <c r="E112" s="396">
        <f>'Тарифные ставки'!$B$4</f>
        <v>148.166</v>
      </c>
      <c r="F112" s="396">
        <v>2</v>
      </c>
      <c r="G112" s="396">
        <f t="shared" si="7"/>
        <v>296.332</v>
      </c>
      <c r="H112" s="396">
        <f>SUM(G112:G113)*'Тарифные ставки'!$B$13</f>
        <v>2183.35596</v>
      </c>
      <c r="I112" s="396">
        <f>H112*'Тарифные ставки'!$B$14*'Тарифные ставки'!$B$15</f>
        <v>2646.22742352</v>
      </c>
      <c r="J112" s="396">
        <f>I112-I112/'Тарифные ставки'!$B$15</f>
        <v>441.03790391999974</v>
      </c>
      <c r="K112" s="481">
        <v>2212.87968</v>
      </c>
      <c r="L112" s="457">
        <f t="shared" si="4"/>
        <v>19.58297811835841</v>
      </c>
    </row>
    <row r="113" spans="1:12" ht="15.75" hidden="1">
      <c r="A113" s="69"/>
      <c r="B113" s="26"/>
      <c r="C113" s="70"/>
      <c r="D113" s="239" t="s">
        <v>2308</v>
      </c>
      <c r="E113" s="399">
        <f>'Тарифные ставки'!$B$5</f>
        <v>137.4825</v>
      </c>
      <c r="F113" s="399">
        <v>4</v>
      </c>
      <c r="G113" s="399">
        <f t="shared" si="7"/>
        <v>549.93</v>
      </c>
      <c r="H113" s="399"/>
      <c r="I113" s="399"/>
      <c r="J113" s="399"/>
      <c r="K113" s="479"/>
      <c r="L113" s="490"/>
    </row>
    <row r="114" spans="1:12" ht="15.75" hidden="1">
      <c r="A114" s="67"/>
      <c r="B114" s="14" t="s">
        <v>2266</v>
      </c>
      <c r="C114" s="68"/>
      <c r="D114" s="237" t="s">
        <v>846</v>
      </c>
      <c r="E114" s="396">
        <v>85.02</v>
      </c>
      <c r="F114" s="396">
        <v>2.4</v>
      </c>
      <c r="G114" s="396">
        <f t="shared" si="7"/>
        <v>204.04799999999997</v>
      </c>
      <c r="H114" s="396">
        <f>SUM(G114:G115)*'Тарифные ставки'!$B$13</f>
        <v>1504.4083199999998</v>
      </c>
      <c r="I114" s="396"/>
      <c r="J114" s="396"/>
      <c r="K114" s="465"/>
      <c r="L114" s="457" t="e">
        <f t="shared" si="4"/>
        <v>#DIV/0!</v>
      </c>
    </row>
    <row r="115" spans="1:12" ht="15.75" hidden="1">
      <c r="A115" s="67"/>
      <c r="B115" s="14"/>
      <c r="C115" s="68"/>
      <c r="D115" s="238" t="s">
        <v>2308</v>
      </c>
      <c r="E115" s="396">
        <v>78.97</v>
      </c>
      <c r="F115" s="396">
        <v>4.8</v>
      </c>
      <c r="G115" s="396">
        <f t="shared" si="7"/>
        <v>379.056</v>
      </c>
      <c r="H115" s="396"/>
      <c r="I115" s="396"/>
      <c r="J115" s="396"/>
      <c r="K115" s="465"/>
      <c r="L115" s="457" t="e">
        <f t="shared" si="4"/>
        <v>#DIV/0!</v>
      </c>
    </row>
    <row r="116" spans="1:12" ht="15.75" hidden="1">
      <c r="A116" s="67"/>
      <c r="B116" s="14" t="s">
        <v>2267</v>
      </c>
      <c r="C116" s="68"/>
      <c r="D116" s="237" t="s">
        <v>846</v>
      </c>
      <c r="E116" s="400">
        <v>85.02</v>
      </c>
      <c r="F116" s="396">
        <v>2.8</v>
      </c>
      <c r="G116" s="396">
        <f t="shared" si="7"/>
        <v>238.05599999999998</v>
      </c>
      <c r="H116" s="396">
        <f>SUM(G116:G117)*'Тарифные ставки'!$B$13</f>
        <v>1755.1430400000002</v>
      </c>
      <c r="I116" s="396"/>
      <c r="J116" s="396"/>
      <c r="K116" s="465"/>
      <c r="L116" s="457" t="e">
        <f t="shared" si="4"/>
        <v>#DIV/0!</v>
      </c>
    </row>
    <row r="117" spans="1:12" ht="15.75" hidden="1">
      <c r="A117" s="67"/>
      <c r="B117" s="14"/>
      <c r="C117" s="68"/>
      <c r="D117" s="238" t="s">
        <v>2308</v>
      </c>
      <c r="E117" s="396">
        <v>78.97</v>
      </c>
      <c r="F117" s="396">
        <v>5.6</v>
      </c>
      <c r="G117" s="396">
        <f t="shared" si="7"/>
        <v>442.23199999999997</v>
      </c>
      <c r="H117" s="396"/>
      <c r="I117" s="396"/>
      <c r="J117" s="396"/>
      <c r="K117" s="465"/>
      <c r="L117" s="457" t="e">
        <f t="shared" si="4"/>
        <v>#DIV/0!</v>
      </c>
    </row>
    <row r="118" spans="1:12" ht="15.75" hidden="1">
      <c r="A118" s="67"/>
      <c r="B118" s="14" t="s">
        <v>2269</v>
      </c>
      <c r="C118" s="68"/>
      <c r="D118" s="237" t="s">
        <v>846</v>
      </c>
      <c r="E118" s="400">
        <v>85.02</v>
      </c>
      <c r="F118" s="396">
        <v>3.7</v>
      </c>
      <c r="G118" s="396">
        <f t="shared" si="7"/>
        <v>314.574</v>
      </c>
      <c r="H118" s="396">
        <f>SUM(G118:G119)*'Тарифные ставки'!$B$13</f>
        <v>2319.29616</v>
      </c>
      <c r="I118" s="396"/>
      <c r="J118" s="396"/>
      <c r="K118" s="465"/>
      <c r="L118" s="457" t="e">
        <f t="shared" si="4"/>
        <v>#DIV/0!</v>
      </c>
    </row>
    <row r="119" spans="1:12" ht="15.75" hidden="1">
      <c r="A119" s="67"/>
      <c r="B119" s="14"/>
      <c r="C119" s="68"/>
      <c r="D119" s="238" t="s">
        <v>2308</v>
      </c>
      <c r="E119" s="396">
        <v>78.97</v>
      </c>
      <c r="F119" s="396">
        <v>7.4</v>
      </c>
      <c r="G119" s="396">
        <f t="shared" si="7"/>
        <v>584.378</v>
      </c>
      <c r="H119" s="396"/>
      <c r="I119" s="396"/>
      <c r="J119" s="396"/>
      <c r="K119" s="465"/>
      <c r="L119" s="457" t="e">
        <f t="shared" si="4"/>
        <v>#DIV/0!</v>
      </c>
    </row>
    <row r="120" spans="1:12" ht="15.75" hidden="1">
      <c r="A120" s="67"/>
      <c r="B120" s="14" t="s">
        <v>2270</v>
      </c>
      <c r="C120" s="68"/>
      <c r="D120" s="237" t="s">
        <v>846</v>
      </c>
      <c r="E120" s="400">
        <v>85.02</v>
      </c>
      <c r="F120" s="396">
        <v>4.1</v>
      </c>
      <c r="G120" s="396">
        <f t="shared" si="7"/>
        <v>348.58199999999994</v>
      </c>
      <c r="H120" s="396">
        <f>SUM(G120:G121)*'Тарифные ставки'!$B$13</f>
        <v>2570.03088</v>
      </c>
      <c r="I120" s="396"/>
      <c r="J120" s="396"/>
      <c r="K120" s="465"/>
      <c r="L120" s="457" t="e">
        <f t="shared" si="4"/>
        <v>#DIV/0!</v>
      </c>
    </row>
    <row r="121" spans="1:12" ht="15.75" hidden="1">
      <c r="A121" s="67"/>
      <c r="B121" s="14"/>
      <c r="C121" s="68"/>
      <c r="D121" s="238" t="s">
        <v>2308</v>
      </c>
      <c r="E121" s="396">
        <v>78.97</v>
      </c>
      <c r="F121" s="396">
        <v>8.2</v>
      </c>
      <c r="G121" s="396">
        <f t="shared" si="7"/>
        <v>647.554</v>
      </c>
      <c r="H121" s="396"/>
      <c r="I121" s="396"/>
      <c r="J121" s="396"/>
      <c r="K121" s="465"/>
      <c r="L121" s="457" t="e">
        <f t="shared" si="4"/>
        <v>#DIV/0!</v>
      </c>
    </row>
    <row r="122" spans="1:12" ht="63">
      <c r="A122" s="73" t="s">
        <v>2031</v>
      </c>
      <c r="B122" s="39" t="s">
        <v>523</v>
      </c>
      <c r="C122" s="74" t="s">
        <v>45</v>
      </c>
      <c r="D122" s="350" t="s">
        <v>2308</v>
      </c>
      <c r="E122" s="398">
        <f>'Тарифные ставки'!$B$5</f>
        <v>137.4825</v>
      </c>
      <c r="F122" s="398">
        <v>7.1</v>
      </c>
      <c r="G122" s="398">
        <f t="shared" si="7"/>
        <v>976.1257499999998</v>
      </c>
      <c r="H122" s="398">
        <f>SUM(G122:G123)*'Тарифные ставки'!$B$13</f>
        <v>7023.156029999999</v>
      </c>
      <c r="I122" s="398">
        <f>H122*'Тарифные ставки'!$B$14*'Тарифные ставки'!$B$15</f>
        <v>8512.065108359999</v>
      </c>
      <c r="J122" s="398">
        <f>I122-I122/'Тарифные ставки'!$B$15</f>
        <v>1418.6775180599998</v>
      </c>
      <c r="K122" s="480">
        <v>7120.6617240000005</v>
      </c>
      <c r="L122" s="491">
        <f t="shared" si="4"/>
        <v>19.54036630711316</v>
      </c>
    </row>
    <row r="123" spans="1:12" ht="24" customHeight="1">
      <c r="A123" s="73" t="s">
        <v>524</v>
      </c>
      <c r="B123" s="39" t="s">
        <v>525</v>
      </c>
      <c r="C123" s="74" t="s">
        <v>45</v>
      </c>
      <c r="D123" s="350" t="s">
        <v>2308</v>
      </c>
      <c r="E123" s="398">
        <f>'Тарифные ставки'!$B$5</f>
        <v>137.4825</v>
      </c>
      <c r="F123" s="398">
        <v>12.7</v>
      </c>
      <c r="G123" s="398">
        <f t="shared" si="7"/>
        <v>1746.0277499999997</v>
      </c>
      <c r="H123" s="398">
        <f>SUM(G123:G124)*'Тарифные ставки'!$B$13</f>
        <v>5476.642883999999</v>
      </c>
      <c r="I123" s="398">
        <f>H123*'Тарифные ставки'!$B$14*'Тарифные ставки'!$B$15</f>
        <v>6637.691175407998</v>
      </c>
      <c r="J123" s="398">
        <f>I123-I123/'Тарифные ставки'!$B$15</f>
        <v>1106.2818625679993</v>
      </c>
      <c r="K123" s="480">
        <v>5552.677627200002</v>
      </c>
      <c r="L123" s="491">
        <f t="shared" si="4"/>
        <v>19.540366307113118</v>
      </c>
    </row>
    <row r="124" spans="1:12" ht="47.25">
      <c r="A124" s="71" t="s">
        <v>526</v>
      </c>
      <c r="B124" s="11" t="s">
        <v>527</v>
      </c>
      <c r="C124" s="72" t="s">
        <v>528</v>
      </c>
      <c r="D124" s="240" t="s">
        <v>2308</v>
      </c>
      <c r="E124" s="400">
        <f>'Тарифные ставки'!$B$5</f>
        <v>137.4825</v>
      </c>
      <c r="F124" s="400">
        <v>2.74</v>
      </c>
      <c r="G124" s="400">
        <f t="shared" si="7"/>
        <v>376.70205</v>
      </c>
      <c r="H124" s="400">
        <f>G124*'Тарифные ставки'!$B$13</f>
        <v>971.891289</v>
      </c>
      <c r="I124" s="396">
        <f>H124*'Тарифные ставки'!$B$14*'Тарифные ставки'!$B$15</f>
        <v>1177.932242268</v>
      </c>
      <c r="J124" s="400">
        <f>I124-I124/'Тарифные ставки'!$B$15</f>
        <v>196.322040378</v>
      </c>
      <c r="K124" s="396">
        <v>985.3845012</v>
      </c>
      <c r="L124" s="450">
        <f t="shared" si="4"/>
        <v>19.54036630711316</v>
      </c>
    </row>
    <row r="125" spans="1:12" ht="15.75">
      <c r="A125" s="67"/>
      <c r="B125" s="14" t="s">
        <v>1282</v>
      </c>
      <c r="C125" s="68"/>
      <c r="D125" s="66"/>
      <c r="E125" s="396">
        <f>'Тарифные ставки'!$B$5</f>
        <v>137.4825</v>
      </c>
      <c r="F125" s="396">
        <v>7.88</v>
      </c>
      <c r="G125" s="396">
        <f t="shared" si="7"/>
        <v>1083.3620999999998</v>
      </c>
      <c r="H125" s="396">
        <f>G125*'Тарифные ставки'!$B$13</f>
        <v>2795.0742179999997</v>
      </c>
      <c r="I125" s="396">
        <f>H125*'Тарифные ставки'!$B$14*'Тарифные ставки'!$B$15</f>
        <v>3387.6299522159993</v>
      </c>
      <c r="J125" s="396">
        <f>I125-I125/'Тарифные ставки'!$B$15</f>
        <v>564.6049920359997</v>
      </c>
      <c r="K125" s="396">
        <v>2833.8795144</v>
      </c>
      <c r="L125" s="457">
        <f t="shared" si="4"/>
        <v>19.54036630711316</v>
      </c>
    </row>
    <row r="126" spans="1:12" ht="15.75">
      <c r="A126" s="67"/>
      <c r="B126" s="14" t="s">
        <v>529</v>
      </c>
      <c r="C126" s="68"/>
      <c r="D126" s="66"/>
      <c r="E126" s="396">
        <f>'Тарифные ставки'!$B$5</f>
        <v>137.4825</v>
      </c>
      <c r="F126" s="396">
        <v>13</v>
      </c>
      <c r="G126" s="396">
        <f t="shared" si="7"/>
        <v>1787.2724999999998</v>
      </c>
      <c r="H126" s="396">
        <f>G126*'Тарифные ставки'!$B$13</f>
        <v>4611.163049999999</v>
      </c>
      <c r="I126" s="396">
        <f>H126*'Тарифные ставки'!$B$14*'Тарифные ставки'!$B$15</f>
        <v>5588.729616599999</v>
      </c>
      <c r="J126" s="396">
        <f>I126-I126/'Тарифные ставки'!$B$15</f>
        <v>931.4549360999999</v>
      </c>
      <c r="K126" s="396">
        <v>4675.1819399999995</v>
      </c>
      <c r="L126" s="457">
        <f t="shared" si="4"/>
        <v>19.54036630711316</v>
      </c>
    </row>
    <row r="127" spans="1:12" ht="15.75">
      <c r="A127" s="67"/>
      <c r="B127" s="14" t="s">
        <v>1293</v>
      </c>
      <c r="C127" s="68"/>
      <c r="D127" s="66"/>
      <c r="E127" s="396">
        <f>'Тарифные ставки'!$B$5</f>
        <v>137.4825</v>
      </c>
      <c r="F127" s="396">
        <v>18.14</v>
      </c>
      <c r="G127" s="396">
        <f t="shared" si="7"/>
        <v>2493.93255</v>
      </c>
      <c r="H127" s="396">
        <f>G127*'Тарифные ставки'!$B$13</f>
        <v>6434.345979</v>
      </c>
      <c r="I127" s="396">
        <f>H127*'Тарифные ставки'!$B$14*'Тарифные ставки'!$B$15</f>
        <v>7798.427326548</v>
      </c>
      <c r="J127" s="396">
        <f>I127-I127/'Тарифные ставки'!$B$15</f>
        <v>1299.7378877579995</v>
      </c>
      <c r="K127" s="396">
        <v>6523.676953200002</v>
      </c>
      <c r="L127" s="457">
        <f t="shared" si="4"/>
        <v>19.540366307113132</v>
      </c>
    </row>
    <row r="128" spans="1:12" ht="15.75">
      <c r="A128" s="67"/>
      <c r="B128" s="14" t="s">
        <v>1294</v>
      </c>
      <c r="C128" s="68"/>
      <c r="D128" s="66"/>
      <c r="E128" s="396">
        <f>'Тарифные ставки'!$B$5</f>
        <v>137.4825</v>
      </c>
      <c r="F128" s="396">
        <v>23.3</v>
      </c>
      <c r="G128" s="396">
        <f t="shared" si="7"/>
        <v>3203.3422499999997</v>
      </c>
      <c r="H128" s="396">
        <f>G128*'Тарифные ставки'!$B$13</f>
        <v>8264.623005</v>
      </c>
      <c r="I128" s="396">
        <f>H128*'Тарифные ставки'!$B$14*'Тарифные ставки'!$B$15</f>
        <v>10016.72308206</v>
      </c>
      <c r="J128" s="396">
        <f>I128-I128/'Тарифные ставки'!$B$15</f>
        <v>1669.4538470099997</v>
      </c>
      <c r="K128" s="396">
        <v>8379.364554</v>
      </c>
      <c r="L128" s="457">
        <f t="shared" si="4"/>
        <v>19.540366307113175</v>
      </c>
    </row>
    <row r="129" spans="1:12" ht="15.75">
      <c r="A129" s="67"/>
      <c r="B129" s="14" t="s">
        <v>530</v>
      </c>
      <c r="C129" s="68"/>
      <c r="D129" s="66"/>
      <c r="E129" s="396">
        <f>'Тарифные ставки'!$B$5</f>
        <v>137.4825</v>
      </c>
      <c r="F129" s="396">
        <v>28.5</v>
      </c>
      <c r="G129" s="396">
        <f t="shared" si="7"/>
        <v>3918.25125</v>
      </c>
      <c r="H129" s="396">
        <f>G129*'Тарифные ставки'!$B$13</f>
        <v>10109.088225</v>
      </c>
      <c r="I129" s="396">
        <f>H129*'Тарифные ставки'!$B$14*'Тарифные ставки'!$B$15</f>
        <v>12252.2149287</v>
      </c>
      <c r="J129" s="396">
        <f>I129-I129/'Тарифные ставки'!$B$15</f>
        <v>2042.0358214499993</v>
      </c>
      <c r="K129" s="396">
        <v>10249.43733</v>
      </c>
      <c r="L129" s="457">
        <f t="shared" si="4"/>
        <v>19.54036630711316</v>
      </c>
    </row>
    <row r="130" spans="1:12" ht="15.75">
      <c r="A130" s="69"/>
      <c r="B130" s="26" t="s">
        <v>531</v>
      </c>
      <c r="C130" s="70"/>
      <c r="D130" s="37"/>
      <c r="E130" s="399">
        <f>'Тарифные ставки'!$B$5</f>
        <v>137.4825</v>
      </c>
      <c r="F130" s="399">
        <v>33.7</v>
      </c>
      <c r="G130" s="399">
        <f t="shared" si="7"/>
        <v>4633.16025</v>
      </c>
      <c r="H130" s="399">
        <f>G130*'Тарифные ставки'!$B$13</f>
        <v>11953.553445</v>
      </c>
      <c r="I130" s="396">
        <f>H130*'Тарифные ставки'!$B$14*'Тарифные ставки'!$B$15</f>
        <v>14487.706775339999</v>
      </c>
      <c r="J130" s="399">
        <f>I130-I130/'Тарифные ставки'!$B$15</f>
        <v>2414.617795889999</v>
      </c>
      <c r="K130" s="396">
        <v>12119.510106000002</v>
      </c>
      <c r="L130" s="490">
        <f t="shared" si="4"/>
        <v>19.54036630711316</v>
      </c>
    </row>
    <row r="131" spans="1:12" ht="63">
      <c r="A131" s="328" t="s">
        <v>83</v>
      </c>
      <c r="B131" s="315" t="s">
        <v>82</v>
      </c>
      <c r="C131" s="315" t="s">
        <v>77</v>
      </c>
      <c r="D131" s="315" t="s">
        <v>81</v>
      </c>
      <c r="E131" s="411" t="s">
        <v>85</v>
      </c>
      <c r="F131" s="411" t="s">
        <v>78</v>
      </c>
      <c r="G131" s="411" t="s">
        <v>79</v>
      </c>
      <c r="H131" s="411" t="s">
        <v>80</v>
      </c>
      <c r="I131" s="411" t="s">
        <v>843</v>
      </c>
      <c r="J131" s="411" t="s">
        <v>2349</v>
      </c>
      <c r="K131" s="492"/>
      <c r="L131" s="493"/>
    </row>
    <row r="132" spans="1:12" ht="15.75">
      <c r="A132" s="71"/>
      <c r="B132" s="112"/>
      <c r="C132" s="72"/>
      <c r="D132" s="64"/>
      <c r="E132" s="400"/>
      <c r="F132" s="400"/>
      <c r="G132" s="400"/>
      <c r="H132" s="400"/>
      <c r="I132" s="400"/>
      <c r="J132" s="400"/>
      <c r="K132" s="494"/>
      <c r="L132" s="397"/>
    </row>
    <row r="133" spans="1:12" ht="47.25">
      <c r="A133" s="67" t="s">
        <v>532</v>
      </c>
      <c r="B133" s="12" t="s">
        <v>533</v>
      </c>
      <c r="C133" s="68" t="s">
        <v>528</v>
      </c>
      <c r="D133" s="238" t="s">
        <v>2308</v>
      </c>
      <c r="E133" s="396">
        <f>'Тарифные ставки'!$B$5</f>
        <v>137.4825</v>
      </c>
      <c r="F133" s="396">
        <v>2.74</v>
      </c>
      <c r="G133" s="396">
        <f t="shared" si="7"/>
        <v>376.70205</v>
      </c>
      <c r="H133" s="396">
        <f>G133*'Тарифные ставки'!$B$13</f>
        <v>971.891289</v>
      </c>
      <c r="I133" s="396">
        <f>H133*'Тарифные ставки'!$B$14*'Тарифные ставки'!$B$15</f>
        <v>1177.932242268</v>
      </c>
      <c r="J133" s="396">
        <f>I133-I133/'Тарифные ставки'!$B$15</f>
        <v>196.322040378</v>
      </c>
      <c r="K133" s="481">
        <v>985.3845012</v>
      </c>
      <c r="L133" s="457">
        <f t="shared" si="4"/>
        <v>19.54036630711316</v>
      </c>
    </row>
    <row r="134" spans="1:12" ht="15.75">
      <c r="A134" s="67"/>
      <c r="B134" s="14" t="s">
        <v>1282</v>
      </c>
      <c r="C134" s="68"/>
      <c r="D134" s="66"/>
      <c r="E134" s="396">
        <f>'Тарифные ставки'!$B$5</f>
        <v>137.4825</v>
      </c>
      <c r="F134" s="396">
        <v>7.88</v>
      </c>
      <c r="G134" s="396">
        <f t="shared" si="7"/>
        <v>1083.3620999999998</v>
      </c>
      <c r="H134" s="396">
        <f>G134*'Тарифные ставки'!$B$13</f>
        <v>2795.0742179999997</v>
      </c>
      <c r="I134" s="396">
        <f>H134*'Тарифные ставки'!$B$14*'Тарифные ставки'!$B$15</f>
        <v>3387.6299522159993</v>
      </c>
      <c r="J134" s="396">
        <f>I134-I134/'Тарифные ставки'!$B$15</f>
        <v>564.6049920359997</v>
      </c>
      <c r="K134" s="481">
        <v>2833.8795144</v>
      </c>
      <c r="L134" s="457">
        <f t="shared" si="4"/>
        <v>19.54036630711316</v>
      </c>
    </row>
    <row r="135" spans="1:12" ht="15.75">
      <c r="A135" s="69"/>
      <c r="B135" s="26" t="s">
        <v>534</v>
      </c>
      <c r="C135" s="70"/>
      <c r="D135" s="37"/>
      <c r="E135" s="399">
        <f>'Тарифные ставки'!$B$5</f>
        <v>137.4825</v>
      </c>
      <c r="F135" s="399">
        <v>13</v>
      </c>
      <c r="G135" s="399">
        <f t="shared" si="7"/>
        <v>1787.2724999999998</v>
      </c>
      <c r="H135" s="399">
        <f>G135*'Тарифные ставки'!$B$13</f>
        <v>4611.163049999999</v>
      </c>
      <c r="I135" s="399">
        <f>H135*'Тарифные ставки'!$B$14*'Тарифные ставки'!$B$15</f>
        <v>5588.729616599999</v>
      </c>
      <c r="J135" s="399">
        <f>I135-I135/'Тарифные ставки'!$B$15</f>
        <v>931.4549360999999</v>
      </c>
      <c r="K135" s="479">
        <v>4675.1819399999995</v>
      </c>
      <c r="L135" s="490">
        <f aca="true" t="shared" si="8" ref="L135:L198">I135/K135*100-100</f>
        <v>19.54036630711316</v>
      </c>
    </row>
    <row r="136" spans="1:12" ht="31.5" hidden="1">
      <c r="A136" s="67" t="s">
        <v>535</v>
      </c>
      <c r="B136" s="12" t="s">
        <v>350</v>
      </c>
      <c r="C136" s="68" t="s">
        <v>182</v>
      </c>
      <c r="D136" s="238" t="s">
        <v>2308</v>
      </c>
      <c r="E136" s="396">
        <v>78.97</v>
      </c>
      <c r="F136" s="396">
        <v>6.38</v>
      </c>
      <c r="G136" s="396">
        <f t="shared" si="7"/>
        <v>503.8286</v>
      </c>
      <c r="H136" s="396">
        <f>G136*'Тарифные ставки'!$B$13</f>
        <v>1299.877788</v>
      </c>
      <c r="I136" s="396"/>
      <c r="J136" s="396">
        <f aca="true" t="shared" si="9" ref="J136:J143">H136*1.1*0.18</f>
        <v>257.375802024</v>
      </c>
      <c r="L136" s="395" t="e">
        <f t="shared" si="8"/>
        <v>#DIV/0!</v>
      </c>
    </row>
    <row r="137" spans="1:12" ht="15.75" hidden="1">
      <c r="A137" s="67"/>
      <c r="B137" s="14" t="s">
        <v>1282</v>
      </c>
      <c r="C137" s="68"/>
      <c r="D137" s="66"/>
      <c r="E137" s="396">
        <v>78.97</v>
      </c>
      <c r="F137" s="396">
        <v>9.6</v>
      </c>
      <c r="G137" s="396">
        <f t="shared" si="7"/>
        <v>758.112</v>
      </c>
      <c r="H137" s="396">
        <f>G137*'Тарифные ставки'!$B$13</f>
        <v>1955.92896</v>
      </c>
      <c r="I137" s="396"/>
      <c r="J137" s="396">
        <f t="shared" si="9"/>
        <v>387.27393408000006</v>
      </c>
      <c r="L137" s="395" t="e">
        <f t="shared" si="8"/>
        <v>#DIV/0!</v>
      </c>
    </row>
    <row r="138" spans="1:12" ht="15.75" hidden="1">
      <c r="A138" s="67"/>
      <c r="B138" s="14" t="s">
        <v>529</v>
      </c>
      <c r="C138" s="68"/>
      <c r="D138" s="66"/>
      <c r="E138" s="396">
        <v>78.97</v>
      </c>
      <c r="F138" s="396">
        <v>12.8</v>
      </c>
      <c r="G138" s="396">
        <f t="shared" si="7"/>
        <v>1010.816</v>
      </c>
      <c r="H138" s="396">
        <f>G138*'Тарифные ставки'!$B$13</f>
        <v>2607.90528</v>
      </c>
      <c r="I138" s="396"/>
      <c r="J138" s="396">
        <f t="shared" si="9"/>
        <v>516.3652454400001</v>
      </c>
      <c r="L138" s="395" t="e">
        <f t="shared" si="8"/>
        <v>#DIV/0!</v>
      </c>
    </row>
    <row r="139" spans="1:12" ht="15.75" hidden="1">
      <c r="A139" s="67"/>
      <c r="B139" s="14" t="s">
        <v>1293</v>
      </c>
      <c r="C139" s="68"/>
      <c r="D139" s="66"/>
      <c r="E139" s="396">
        <v>78.97</v>
      </c>
      <c r="F139" s="396">
        <v>16.1</v>
      </c>
      <c r="G139" s="396">
        <f t="shared" si="7"/>
        <v>1271.4170000000001</v>
      </c>
      <c r="H139" s="396">
        <f>G139*'Тарифные ставки'!$B$13</f>
        <v>3280.2558600000007</v>
      </c>
      <c r="I139" s="396"/>
      <c r="J139" s="396">
        <f t="shared" si="9"/>
        <v>649.4906602800002</v>
      </c>
      <c r="L139" s="395" t="e">
        <f t="shared" si="8"/>
        <v>#DIV/0!</v>
      </c>
    </row>
    <row r="140" spans="1:12" ht="15.75" hidden="1">
      <c r="A140" s="67"/>
      <c r="B140" s="14" t="s">
        <v>1294</v>
      </c>
      <c r="C140" s="68"/>
      <c r="D140" s="66"/>
      <c r="E140" s="396">
        <v>78.97</v>
      </c>
      <c r="F140" s="396">
        <v>19.4</v>
      </c>
      <c r="G140" s="396">
        <f t="shared" si="7"/>
        <v>1532.0179999999998</v>
      </c>
      <c r="H140" s="396">
        <f>G140*'Тарифные ставки'!$B$13</f>
        <v>3952.6064399999996</v>
      </c>
      <c r="I140" s="396"/>
      <c r="J140" s="396">
        <f t="shared" si="9"/>
        <v>782.6160751199999</v>
      </c>
      <c r="L140" s="395" t="e">
        <f t="shared" si="8"/>
        <v>#DIV/0!</v>
      </c>
    </row>
    <row r="141" spans="1:12" ht="15.75" hidden="1">
      <c r="A141" s="67"/>
      <c r="B141" s="14" t="s">
        <v>530</v>
      </c>
      <c r="C141" s="68"/>
      <c r="D141" s="66"/>
      <c r="E141" s="396">
        <v>78.97</v>
      </c>
      <c r="F141" s="396">
        <v>22.75</v>
      </c>
      <c r="G141" s="396">
        <f t="shared" si="7"/>
        <v>1796.5674999999999</v>
      </c>
      <c r="H141" s="396">
        <f>G141*'Тарифные ставки'!$B$13</f>
        <v>4635.14415</v>
      </c>
      <c r="I141" s="396"/>
      <c r="J141" s="396">
        <f t="shared" si="9"/>
        <v>917.7585417000001</v>
      </c>
      <c r="L141" s="395" t="e">
        <f t="shared" si="8"/>
        <v>#DIV/0!</v>
      </c>
    </row>
    <row r="142" spans="1:12" ht="15.75" hidden="1">
      <c r="A142" s="67"/>
      <c r="B142" s="14" t="s">
        <v>531</v>
      </c>
      <c r="C142" s="68"/>
      <c r="D142" s="66"/>
      <c r="E142" s="396">
        <v>78.97</v>
      </c>
      <c r="F142" s="396">
        <v>26.1</v>
      </c>
      <c r="G142" s="396">
        <f t="shared" si="7"/>
        <v>2061.117</v>
      </c>
      <c r="H142" s="396">
        <f>G142*'Тарифные ставки'!$B$13</f>
        <v>5317.681860000001</v>
      </c>
      <c r="I142" s="396"/>
      <c r="J142" s="396">
        <f t="shared" si="9"/>
        <v>1052.90100828</v>
      </c>
      <c r="L142" s="395" t="e">
        <f t="shared" si="8"/>
        <v>#DIV/0!</v>
      </c>
    </row>
    <row r="143" spans="1:12" ht="15.75" hidden="1">
      <c r="A143" s="661" t="s">
        <v>2396</v>
      </c>
      <c r="B143" s="662"/>
      <c r="C143" s="662"/>
      <c r="D143" s="662"/>
      <c r="E143" s="662"/>
      <c r="F143" s="662"/>
      <c r="G143" s="662"/>
      <c r="H143" s="662"/>
      <c r="I143" s="663"/>
      <c r="J143" s="396">
        <f t="shared" si="9"/>
        <v>0</v>
      </c>
      <c r="L143" s="395" t="e">
        <f t="shared" si="8"/>
        <v>#DIV/0!</v>
      </c>
    </row>
    <row r="144" spans="1:12" ht="27" customHeight="1">
      <c r="A144" s="668" t="s">
        <v>2452</v>
      </c>
      <c r="B144" s="669"/>
      <c r="C144" s="669"/>
      <c r="D144" s="669"/>
      <c r="E144" s="669"/>
      <c r="F144" s="669"/>
      <c r="G144" s="669"/>
      <c r="H144" s="669"/>
      <c r="I144" s="669"/>
      <c r="J144" s="670"/>
      <c r="L144" s="395"/>
    </row>
    <row r="145" spans="1:12" ht="31.5">
      <c r="A145" s="71" t="s">
        <v>351</v>
      </c>
      <c r="B145" s="11" t="s">
        <v>352</v>
      </c>
      <c r="C145" s="72" t="s">
        <v>182</v>
      </c>
      <c r="D145" s="240" t="s">
        <v>2308</v>
      </c>
      <c r="E145" s="400">
        <f>'Тарифные ставки'!$B$5</f>
        <v>137.4825</v>
      </c>
      <c r="F145" s="400">
        <v>6.38</v>
      </c>
      <c r="G145" s="400">
        <f aca="true" t="shared" si="10" ref="G145:G165">E145*F145</f>
        <v>877.13835</v>
      </c>
      <c r="H145" s="400">
        <f>G145*'Тарифные ставки'!$B$13</f>
        <v>2263.016943</v>
      </c>
      <c r="I145" s="400">
        <f>H145*'Тарифные ставки'!$B$14*'Тарифные ставки'!$B$15</f>
        <v>2742.776534916</v>
      </c>
      <c r="J145" s="400">
        <f>I145-I145/'Тарифные ставки'!$B$15</f>
        <v>457.12942248599984</v>
      </c>
      <c r="K145" s="478">
        <v>2294.4354444</v>
      </c>
      <c r="L145" s="450">
        <f t="shared" si="8"/>
        <v>19.540366307113175</v>
      </c>
    </row>
    <row r="146" spans="1:12" ht="15.75">
      <c r="A146" s="69"/>
      <c r="B146" s="26" t="s">
        <v>1282</v>
      </c>
      <c r="C146" s="70"/>
      <c r="D146" s="37"/>
      <c r="E146" s="399">
        <f>'Тарифные ставки'!$B$5</f>
        <v>137.4825</v>
      </c>
      <c r="F146" s="399">
        <v>9.6</v>
      </c>
      <c r="G146" s="399">
        <f t="shared" si="10"/>
        <v>1319.8319999999999</v>
      </c>
      <c r="H146" s="399">
        <f>G146*'Тарифные ставки'!$B$13</f>
        <v>3405.1665599999997</v>
      </c>
      <c r="I146" s="399">
        <f>H146*'Тарифные ставки'!$B$14*'Тарифные ставки'!$B$15</f>
        <v>4127.061870719999</v>
      </c>
      <c r="J146" s="399">
        <f>I146-I146/'Тарифные ставки'!$B$15</f>
        <v>687.8436451199996</v>
      </c>
      <c r="K146" s="479">
        <v>3452.442048000001</v>
      </c>
      <c r="L146" s="490">
        <f t="shared" si="8"/>
        <v>19.540366307113132</v>
      </c>
    </row>
    <row r="147" spans="1:12" ht="15.75" hidden="1">
      <c r="A147" s="69"/>
      <c r="B147" s="26" t="s">
        <v>534</v>
      </c>
      <c r="C147" s="70"/>
      <c r="D147" s="37"/>
      <c r="E147" s="399">
        <v>78.97</v>
      </c>
      <c r="F147" s="399">
        <v>12.8</v>
      </c>
      <c r="G147" s="399">
        <f t="shared" si="10"/>
        <v>1010.816</v>
      </c>
      <c r="H147" s="399">
        <f>G147*'Тарифные ставки'!$B$13</f>
        <v>2607.90528</v>
      </c>
      <c r="I147" s="399"/>
      <c r="J147" s="399"/>
      <c r="K147" s="465"/>
      <c r="L147" s="457" t="e">
        <f t="shared" si="8"/>
        <v>#DIV/0!</v>
      </c>
    </row>
    <row r="148" spans="1:12" ht="47.25" hidden="1">
      <c r="A148" s="67" t="s">
        <v>353</v>
      </c>
      <c r="B148" s="12" t="s">
        <v>724</v>
      </c>
      <c r="C148" s="68" t="s">
        <v>725</v>
      </c>
      <c r="D148" s="240" t="s">
        <v>2308</v>
      </c>
      <c r="E148" s="396">
        <v>78.97</v>
      </c>
      <c r="F148" s="396">
        <v>1.6</v>
      </c>
      <c r="G148" s="396">
        <f t="shared" si="10"/>
        <v>126.352</v>
      </c>
      <c r="H148" s="396">
        <f>G148*'Тарифные ставки'!$B$13</f>
        <v>325.98816</v>
      </c>
      <c r="I148" s="396"/>
      <c r="J148" s="396"/>
      <c r="K148" s="465"/>
      <c r="L148" s="457" t="e">
        <f t="shared" si="8"/>
        <v>#DIV/0!</v>
      </c>
    </row>
    <row r="149" spans="1:12" ht="15.75" hidden="1">
      <c r="A149" s="67"/>
      <c r="B149" s="14" t="s">
        <v>1282</v>
      </c>
      <c r="C149" s="68"/>
      <c r="D149" s="66"/>
      <c r="E149" s="396">
        <v>78.97</v>
      </c>
      <c r="F149" s="396">
        <v>2.8</v>
      </c>
      <c r="G149" s="396">
        <f t="shared" si="10"/>
        <v>221.11599999999999</v>
      </c>
      <c r="H149" s="396">
        <f>G149*'Тарифные ставки'!$B$13</f>
        <v>570.47928</v>
      </c>
      <c r="I149" s="396"/>
      <c r="J149" s="396"/>
      <c r="K149" s="465"/>
      <c r="L149" s="457" t="e">
        <f t="shared" si="8"/>
        <v>#DIV/0!</v>
      </c>
    </row>
    <row r="150" spans="1:12" ht="15.75" hidden="1">
      <c r="A150" s="67"/>
      <c r="B150" s="14" t="s">
        <v>529</v>
      </c>
      <c r="C150" s="68"/>
      <c r="D150" s="66"/>
      <c r="E150" s="396">
        <v>78.97</v>
      </c>
      <c r="F150" s="396">
        <v>4</v>
      </c>
      <c r="G150" s="396">
        <f t="shared" si="10"/>
        <v>315.88</v>
      </c>
      <c r="H150" s="396">
        <f>G150*'Тарифные ставки'!$B$13</f>
        <v>814.9704</v>
      </c>
      <c r="I150" s="396"/>
      <c r="J150" s="396"/>
      <c r="K150" s="465"/>
      <c r="L150" s="457" t="e">
        <f t="shared" si="8"/>
        <v>#DIV/0!</v>
      </c>
    </row>
    <row r="151" spans="1:12" ht="15.75" hidden="1">
      <c r="A151" s="67"/>
      <c r="B151" s="14" t="s">
        <v>1297</v>
      </c>
      <c r="C151" s="68"/>
      <c r="D151" s="66"/>
      <c r="E151" s="396">
        <v>78.97</v>
      </c>
      <c r="F151" s="396">
        <v>5.9</v>
      </c>
      <c r="G151" s="396">
        <f t="shared" si="10"/>
        <v>465.923</v>
      </c>
      <c r="H151" s="396">
        <f>G151*'Тарифные ставки'!$B$13</f>
        <v>1202.08134</v>
      </c>
      <c r="I151" s="396"/>
      <c r="J151" s="396"/>
      <c r="K151" s="465"/>
      <c r="L151" s="457" t="e">
        <f t="shared" si="8"/>
        <v>#DIV/0!</v>
      </c>
    </row>
    <row r="152" spans="1:12" ht="15.75" hidden="1">
      <c r="A152" s="67"/>
      <c r="B152" s="14" t="s">
        <v>726</v>
      </c>
      <c r="C152" s="68"/>
      <c r="D152" s="66"/>
      <c r="E152" s="396">
        <v>78.97</v>
      </c>
      <c r="F152" s="396">
        <v>8.3</v>
      </c>
      <c r="G152" s="396">
        <f t="shared" si="10"/>
        <v>655.451</v>
      </c>
      <c r="H152" s="396">
        <f>G152*'Тарифные ставки'!$B$13</f>
        <v>1691.06358</v>
      </c>
      <c r="I152" s="396"/>
      <c r="J152" s="396"/>
      <c r="K152" s="465"/>
      <c r="L152" s="457" t="e">
        <f t="shared" si="8"/>
        <v>#DIV/0!</v>
      </c>
    </row>
    <row r="153" spans="1:12" ht="31.5">
      <c r="A153" s="71" t="s">
        <v>727</v>
      </c>
      <c r="B153" s="11" t="s">
        <v>728</v>
      </c>
      <c r="C153" s="72" t="s">
        <v>725</v>
      </c>
      <c r="D153" s="240" t="s">
        <v>2308</v>
      </c>
      <c r="E153" s="400">
        <f>'Тарифные ставки'!$B$5</f>
        <v>137.4825</v>
      </c>
      <c r="F153" s="400">
        <v>1.6</v>
      </c>
      <c r="G153" s="400">
        <f t="shared" si="10"/>
        <v>219.97199999999998</v>
      </c>
      <c r="H153" s="400">
        <f>G153*'Тарифные ставки'!$B$13</f>
        <v>567.52776</v>
      </c>
      <c r="I153" s="400">
        <f>H153*'Тарифные ставки'!$B$14*'Тарифные ставки'!$B$15</f>
        <v>687.8436451199999</v>
      </c>
      <c r="J153" s="400">
        <f>I153-I153/'Тарифные ставки'!$B$15</f>
        <v>114.64060752</v>
      </c>
      <c r="K153" s="478">
        <v>575.4070080000001</v>
      </c>
      <c r="L153" s="450">
        <f t="shared" si="8"/>
        <v>19.540366307113132</v>
      </c>
    </row>
    <row r="154" spans="1:12" ht="15.75">
      <c r="A154" s="69"/>
      <c r="B154" s="26" t="s">
        <v>1282</v>
      </c>
      <c r="C154" s="70"/>
      <c r="D154" s="37"/>
      <c r="E154" s="399">
        <f>'Тарифные ставки'!$B$5</f>
        <v>137.4825</v>
      </c>
      <c r="F154" s="399">
        <v>2.8</v>
      </c>
      <c r="G154" s="399">
        <f t="shared" si="10"/>
        <v>384.95099999999996</v>
      </c>
      <c r="H154" s="399">
        <f>G154*'Тарифные ставки'!$B$13</f>
        <v>993.1735799999999</v>
      </c>
      <c r="I154" s="399">
        <f>H154*'Тарифные ставки'!$B$14*'Тарифные ставки'!$B$15</f>
        <v>1203.7263789599997</v>
      </c>
      <c r="J154" s="399">
        <f>I154-I154/'Тарифные ставки'!$B$15</f>
        <v>200.62106315999995</v>
      </c>
      <c r="K154" s="479">
        <v>1006.962264</v>
      </c>
      <c r="L154" s="490">
        <f t="shared" si="8"/>
        <v>19.540366307113132</v>
      </c>
    </row>
    <row r="155" spans="1:12" ht="15.75" hidden="1">
      <c r="A155" s="69"/>
      <c r="B155" s="26" t="s">
        <v>534</v>
      </c>
      <c r="C155" s="70"/>
      <c r="D155" s="37"/>
      <c r="E155" s="399">
        <v>78.97</v>
      </c>
      <c r="F155" s="399">
        <v>4</v>
      </c>
      <c r="G155" s="399">
        <f t="shared" si="10"/>
        <v>315.88</v>
      </c>
      <c r="H155" s="399">
        <f>G155*'Тарифные ставки'!$B$13</f>
        <v>814.9704</v>
      </c>
      <c r="I155" s="399"/>
      <c r="J155" s="399"/>
      <c r="K155" s="465"/>
      <c r="L155" s="457" t="e">
        <f t="shared" si="8"/>
        <v>#DIV/0!</v>
      </c>
    </row>
    <row r="156" spans="1:12" ht="47.25" hidden="1">
      <c r="A156" s="67" t="s">
        <v>729</v>
      </c>
      <c r="B156" s="12" t="s">
        <v>730</v>
      </c>
      <c r="C156" s="68" t="s">
        <v>182</v>
      </c>
      <c r="D156" s="240" t="s">
        <v>2308</v>
      </c>
      <c r="E156" s="396">
        <v>78.97</v>
      </c>
      <c r="F156" s="396">
        <v>0.85</v>
      </c>
      <c r="G156" s="396">
        <f t="shared" si="10"/>
        <v>67.1245</v>
      </c>
      <c r="H156" s="396">
        <f>G156*'Тарифные ставки'!$B$13</f>
        <v>173.18121</v>
      </c>
      <c r="I156" s="396"/>
      <c r="J156" s="396"/>
      <c r="K156" s="465"/>
      <c r="L156" s="457" t="e">
        <f t="shared" si="8"/>
        <v>#DIV/0!</v>
      </c>
    </row>
    <row r="157" spans="1:12" ht="15.75" hidden="1">
      <c r="A157" s="67"/>
      <c r="B157" s="14" t="s">
        <v>552</v>
      </c>
      <c r="C157" s="68"/>
      <c r="D157" s="66"/>
      <c r="E157" s="396">
        <v>78.97</v>
      </c>
      <c r="F157" s="396">
        <v>1.1</v>
      </c>
      <c r="G157" s="396">
        <f t="shared" si="10"/>
        <v>86.867</v>
      </c>
      <c r="H157" s="396">
        <f>G157*'Тарифные ставки'!$B$13</f>
        <v>224.11686000000003</v>
      </c>
      <c r="I157" s="396"/>
      <c r="J157" s="396"/>
      <c r="K157" s="465"/>
      <c r="L157" s="457" t="e">
        <f t="shared" si="8"/>
        <v>#DIV/0!</v>
      </c>
    </row>
    <row r="158" spans="1:12" ht="15.75" hidden="1">
      <c r="A158" s="67"/>
      <c r="B158" s="14" t="s">
        <v>731</v>
      </c>
      <c r="C158" s="68"/>
      <c r="D158" s="66"/>
      <c r="E158" s="396">
        <v>78.97</v>
      </c>
      <c r="F158" s="396">
        <v>1.35</v>
      </c>
      <c r="G158" s="396">
        <f t="shared" si="10"/>
        <v>106.60950000000001</v>
      </c>
      <c r="H158" s="396">
        <f>G158*'Тарифные ставки'!$B$13</f>
        <v>275.05251000000004</v>
      </c>
      <c r="I158" s="396"/>
      <c r="J158" s="396"/>
      <c r="K158" s="465"/>
      <c r="L158" s="457" t="e">
        <f t="shared" si="8"/>
        <v>#DIV/0!</v>
      </c>
    </row>
    <row r="159" spans="1:12" ht="47.25">
      <c r="A159" s="73" t="s">
        <v>732</v>
      </c>
      <c r="B159" s="39" t="s">
        <v>733</v>
      </c>
      <c r="C159" s="74" t="s">
        <v>182</v>
      </c>
      <c r="D159" s="350" t="s">
        <v>2308</v>
      </c>
      <c r="E159" s="398">
        <f>'Тарифные ставки'!$B$5</f>
        <v>137.4825</v>
      </c>
      <c r="F159" s="398">
        <v>0.85</v>
      </c>
      <c r="G159" s="398">
        <f t="shared" si="10"/>
        <v>116.86012499999998</v>
      </c>
      <c r="H159" s="398">
        <f>G159*'Тарифные ставки'!$B$13</f>
        <v>301.49912249999994</v>
      </c>
      <c r="I159" s="398">
        <f>H159*'Тарифные ставки'!$B$14*'Тарифные ставки'!$B$15</f>
        <v>365.41693646999994</v>
      </c>
      <c r="J159" s="398">
        <f>I159-I159/'Тарифные ставки'!$B$15</f>
        <v>60.90282274499998</v>
      </c>
      <c r="K159" s="480">
        <v>305.684973</v>
      </c>
      <c r="L159" s="491">
        <f t="shared" si="8"/>
        <v>19.54036630711316</v>
      </c>
    </row>
    <row r="160" spans="1:12" ht="15.75" hidden="1">
      <c r="A160" s="69"/>
      <c r="B160" s="26" t="s">
        <v>534</v>
      </c>
      <c r="C160" s="70"/>
      <c r="D160" s="37"/>
      <c r="E160" s="399">
        <v>78.97</v>
      </c>
      <c r="F160" s="399">
        <v>1</v>
      </c>
      <c r="G160" s="399">
        <f t="shared" si="10"/>
        <v>78.97</v>
      </c>
      <c r="H160" s="399">
        <f>G160*'Тарифные ставки'!$B$13</f>
        <v>203.7426</v>
      </c>
      <c r="I160" s="399"/>
      <c r="J160" s="399"/>
      <c r="L160" s="395" t="e">
        <f t="shared" si="8"/>
        <v>#DIV/0!</v>
      </c>
    </row>
    <row r="161" spans="1:12" ht="31.5" hidden="1">
      <c r="A161" s="67" t="s">
        <v>734</v>
      </c>
      <c r="B161" s="12" t="s">
        <v>735</v>
      </c>
      <c r="C161" s="68" t="s">
        <v>182</v>
      </c>
      <c r="D161" s="240" t="s">
        <v>2308</v>
      </c>
      <c r="E161" s="396">
        <v>78.97</v>
      </c>
      <c r="F161" s="396">
        <v>5.1</v>
      </c>
      <c r="G161" s="396">
        <f t="shared" si="10"/>
        <v>402.74699999999996</v>
      </c>
      <c r="H161" s="396">
        <f>G161*'Тарифные ставки'!$B$13</f>
        <v>1039.08726</v>
      </c>
      <c r="I161" s="396"/>
      <c r="J161" s="396"/>
      <c r="L161" s="395" t="e">
        <f t="shared" si="8"/>
        <v>#DIV/0!</v>
      </c>
    </row>
    <row r="162" spans="1:12" ht="15.75" hidden="1">
      <c r="A162" s="67"/>
      <c r="B162" s="14" t="s">
        <v>1282</v>
      </c>
      <c r="C162" s="68"/>
      <c r="D162" s="66"/>
      <c r="E162" s="396">
        <v>78.97</v>
      </c>
      <c r="F162" s="396">
        <v>5.9</v>
      </c>
      <c r="G162" s="396">
        <f t="shared" si="10"/>
        <v>465.923</v>
      </c>
      <c r="H162" s="396">
        <f>G162*'Тарифные ставки'!$B$13</f>
        <v>1202.08134</v>
      </c>
      <c r="I162" s="396"/>
      <c r="J162" s="396"/>
      <c r="L162" s="395" t="e">
        <f t="shared" si="8"/>
        <v>#DIV/0!</v>
      </c>
    </row>
    <row r="163" spans="1:12" ht="15.75" hidden="1">
      <c r="A163" s="67"/>
      <c r="B163" s="14" t="s">
        <v>529</v>
      </c>
      <c r="C163" s="68"/>
      <c r="D163" s="66"/>
      <c r="E163" s="396">
        <v>78.97</v>
      </c>
      <c r="F163" s="396">
        <v>6.7</v>
      </c>
      <c r="G163" s="396">
        <f t="shared" si="10"/>
        <v>529.099</v>
      </c>
      <c r="H163" s="396">
        <f>G163*'Тарифные ставки'!$B$13</f>
        <v>1365.0754200000001</v>
      </c>
      <c r="I163" s="396"/>
      <c r="J163" s="396"/>
      <c r="L163" s="395" t="e">
        <f t="shared" si="8"/>
        <v>#DIV/0!</v>
      </c>
    </row>
    <row r="164" spans="1:12" ht="15.75" hidden="1">
      <c r="A164" s="67"/>
      <c r="B164" s="14" t="s">
        <v>1297</v>
      </c>
      <c r="C164" s="68"/>
      <c r="D164" s="66"/>
      <c r="E164" s="396">
        <v>78.97</v>
      </c>
      <c r="F164" s="396">
        <v>7.9</v>
      </c>
      <c r="G164" s="396">
        <f t="shared" si="10"/>
        <v>623.863</v>
      </c>
      <c r="H164" s="396">
        <f>G164*'Тарифные ставки'!$B$13</f>
        <v>1609.5665400000003</v>
      </c>
      <c r="I164" s="396"/>
      <c r="J164" s="396"/>
      <c r="L164" s="395" t="e">
        <f t="shared" si="8"/>
        <v>#DIV/0!</v>
      </c>
    </row>
    <row r="165" spans="1:12" ht="15.75" hidden="1">
      <c r="A165" s="67"/>
      <c r="B165" s="14" t="s">
        <v>726</v>
      </c>
      <c r="C165" s="68"/>
      <c r="D165" s="66"/>
      <c r="E165" s="396">
        <v>78.97</v>
      </c>
      <c r="F165" s="396">
        <v>9.5</v>
      </c>
      <c r="G165" s="396">
        <f t="shared" si="10"/>
        <v>750.215</v>
      </c>
      <c r="H165" s="396">
        <f>G165*'Тарифные ставки'!$B$13</f>
        <v>1935.5547000000001</v>
      </c>
      <c r="I165" s="396"/>
      <c r="J165" s="396"/>
      <c r="L165" s="395" t="e">
        <f t="shared" si="8"/>
        <v>#DIV/0!</v>
      </c>
    </row>
    <row r="166" spans="1:12" ht="15.75" hidden="1">
      <c r="A166" s="661" t="s">
        <v>2397</v>
      </c>
      <c r="B166" s="662"/>
      <c r="C166" s="662"/>
      <c r="D166" s="662"/>
      <c r="E166" s="662"/>
      <c r="F166" s="662"/>
      <c r="G166" s="662"/>
      <c r="H166" s="662"/>
      <c r="I166" s="663"/>
      <c r="J166" s="396"/>
      <c r="L166" s="395" t="e">
        <f t="shared" si="8"/>
        <v>#DIV/0!</v>
      </c>
    </row>
    <row r="167" spans="1:12" ht="31.5">
      <c r="A167" s="71" t="s">
        <v>736</v>
      </c>
      <c r="B167" s="11" t="s">
        <v>737</v>
      </c>
      <c r="C167" s="72" t="s">
        <v>182</v>
      </c>
      <c r="D167" s="228" t="s">
        <v>2308</v>
      </c>
      <c r="E167" s="400">
        <f>'Тарифные ставки'!$B$5</f>
        <v>137.4825</v>
      </c>
      <c r="F167" s="400">
        <v>5.1</v>
      </c>
      <c r="G167" s="400">
        <f aca="true" t="shared" si="11" ref="G167:G224">E167*F167</f>
        <v>701.1607499999999</v>
      </c>
      <c r="H167" s="400">
        <f>G167*'Тарифные ставки'!$B$13</f>
        <v>1808.9947349999998</v>
      </c>
      <c r="I167" s="400">
        <f>H167*'Тарифные ставки'!$B$14*'Тарифные ставки'!$B$15</f>
        <v>2192.5016188199997</v>
      </c>
      <c r="J167" s="400">
        <f>I167-I167/'Тарифные ставки'!$B$15</f>
        <v>365.4169364699999</v>
      </c>
      <c r="K167" s="478">
        <v>1834.1098379999999</v>
      </c>
      <c r="L167" s="450">
        <f t="shared" si="8"/>
        <v>19.540366307113175</v>
      </c>
    </row>
    <row r="168" spans="1:12" ht="15.75">
      <c r="A168" s="67"/>
      <c r="B168" s="14" t="s">
        <v>1282</v>
      </c>
      <c r="C168" s="68"/>
      <c r="D168" s="66"/>
      <c r="E168" s="396">
        <f>'Тарифные ставки'!$B$5</f>
        <v>137.4825</v>
      </c>
      <c r="F168" s="396">
        <v>5.9</v>
      </c>
      <c r="G168" s="396">
        <f t="shared" si="11"/>
        <v>811.14675</v>
      </c>
      <c r="H168" s="396">
        <f>G168*'Тарифные ставки'!$B$13</f>
        <v>2092.758615</v>
      </c>
      <c r="I168" s="396">
        <f>H168*'Тарифные ставки'!$B$14*'Тарифные ставки'!$B$15</f>
        <v>2536.42344138</v>
      </c>
      <c r="J168" s="396">
        <f>I168-I168/'Тарифные ставки'!$B$15</f>
        <v>422.73724022999977</v>
      </c>
      <c r="K168" s="481">
        <v>2121.813342</v>
      </c>
      <c r="L168" s="457">
        <f t="shared" si="8"/>
        <v>19.540366307113175</v>
      </c>
    </row>
    <row r="169" spans="1:12" ht="15.75" hidden="1">
      <c r="A169" s="67"/>
      <c r="B169" s="14" t="s">
        <v>534</v>
      </c>
      <c r="C169" s="68"/>
      <c r="D169" s="66"/>
      <c r="E169" s="396">
        <v>78.97</v>
      </c>
      <c r="F169" s="396">
        <v>6.7</v>
      </c>
      <c r="G169" s="396">
        <f t="shared" si="11"/>
        <v>529.099</v>
      </c>
      <c r="H169" s="396">
        <f>G169*'Тарифные ставки'!$B$13</f>
        <v>1365.0754200000001</v>
      </c>
      <c r="I169" s="396"/>
      <c r="J169" s="396"/>
      <c r="K169" s="481"/>
      <c r="L169" s="457" t="e">
        <f t="shared" si="8"/>
        <v>#DIV/0!</v>
      </c>
    </row>
    <row r="170" spans="1:12" ht="66.75" customHeight="1">
      <c r="A170" s="69"/>
      <c r="B170" s="30" t="s">
        <v>2453</v>
      </c>
      <c r="C170" s="70"/>
      <c r="D170" s="37"/>
      <c r="E170" s="399"/>
      <c r="F170" s="399"/>
      <c r="G170" s="399"/>
      <c r="H170" s="399"/>
      <c r="I170" s="399"/>
      <c r="J170" s="399"/>
      <c r="K170" s="479"/>
      <c r="L170" s="490"/>
    </row>
    <row r="171" spans="1:12" ht="31.5">
      <c r="A171" s="71" t="s">
        <v>738</v>
      </c>
      <c r="B171" s="11" t="s">
        <v>739</v>
      </c>
      <c r="C171" s="72" t="s">
        <v>169</v>
      </c>
      <c r="D171" s="240" t="s">
        <v>2308</v>
      </c>
      <c r="E171" s="400">
        <f>'Тарифные ставки'!$B$5</f>
        <v>137.4825</v>
      </c>
      <c r="F171" s="400">
        <v>1.44</v>
      </c>
      <c r="G171" s="400">
        <f t="shared" si="11"/>
        <v>197.9748</v>
      </c>
      <c r="H171" s="400">
        <f>G171*'Тарифные ставки'!$B$13</f>
        <v>510.77498399999996</v>
      </c>
      <c r="I171" s="400">
        <f>H171*'Тарифные ставки'!$B$14*'Тарифные ставки'!$B$15</f>
        <v>619.059280608</v>
      </c>
      <c r="J171" s="400">
        <f>I171-I171/'Тарифные ставки'!$B$15</f>
        <v>103.17654676799998</v>
      </c>
      <c r="K171" s="478">
        <v>517.8663071999999</v>
      </c>
      <c r="L171" s="450">
        <f t="shared" si="8"/>
        <v>19.540366307113175</v>
      </c>
    </row>
    <row r="172" spans="1:12" ht="15.75">
      <c r="A172" s="69"/>
      <c r="B172" s="26" t="s">
        <v>1805</v>
      </c>
      <c r="C172" s="70"/>
      <c r="D172" s="37"/>
      <c r="E172" s="399">
        <f>'Тарифные ставки'!$B$5</f>
        <v>137.4825</v>
      </c>
      <c r="F172" s="399">
        <v>2.86</v>
      </c>
      <c r="G172" s="399">
        <f t="shared" si="11"/>
        <v>393.19994999999994</v>
      </c>
      <c r="H172" s="399">
        <f>G172*'Тарифные ставки'!$B$13</f>
        <v>1014.4558709999999</v>
      </c>
      <c r="I172" s="399">
        <f>H172*'Тарифные ставки'!$B$14*'Тарифные ставки'!$B$15</f>
        <v>1229.5205156519999</v>
      </c>
      <c r="J172" s="399">
        <f>I172-I172/'Тарифные ставки'!$B$15</f>
        <v>204.92008594200001</v>
      </c>
      <c r="K172" s="479">
        <v>1028.5400268</v>
      </c>
      <c r="L172" s="490">
        <f t="shared" si="8"/>
        <v>19.54036630711316</v>
      </c>
    </row>
    <row r="173" spans="1:12" ht="15.75" hidden="1">
      <c r="A173" s="67"/>
      <c r="B173" s="14" t="s">
        <v>1297</v>
      </c>
      <c r="C173" s="68"/>
      <c r="D173" s="66"/>
      <c r="E173" s="396">
        <v>78.97</v>
      </c>
      <c r="F173" s="396">
        <v>4.32</v>
      </c>
      <c r="G173" s="396">
        <f t="shared" si="11"/>
        <v>341.1504</v>
      </c>
      <c r="H173" s="396">
        <f>G173*'Тарифные ставки'!$B$13</f>
        <v>880.168032</v>
      </c>
      <c r="I173" s="396"/>
      <c r="J173" s="396"/>
      <c r="K173" s="465"/>
      <c r="L173" s="457" t="e">
        <f t="shared" si="8"/>
        <v>#DIV/0!</v>
      </c>
    </row>
    <row r="174" spans="1:12" ht="15.75" hidden="1">
      <c r="A174" s="67"/>
      <c r="B174" s="14" t="s">
        <v>726</v>
      </c>
      <c r="C174" s="68"/>
      <c r="D174" s="66"/>
      <c r="E174" s="396">
        <v>78.97</v>
      </c>
      <c r="F174" s="396">
        <v>8.64</v>
      </c>
      <c r="G174" s="396">
        <f t="shared" si="11"/>
        <v>682.3008</v>
      </c>
      <c r="H174" s="396">
        <f>G174*'Тарифные ставки'!$B$13</f>
        <v>1760.336064</v>
      </c>
      <c r="I174" s="396"/>
      <c r="J174" s="396"/>
      <c r="K174" s="465"/>
      <c r="L174" s="457" t="e">
        <f t="shared" si="8"/>
        <v>#DIV/0!</v>
      </c>
    </row>
    <row r="175" spans="1:12" ht="31.5">
      <c r="A175" s="73" t="s">
        <v>740</v>
      </c>
      <c r="B175" s="39" t="s">
        <v>2454</v>
      </c>
      <c r="C175" s="74" t="s">
        <v>182</v>
      </c>
      <c r="D175" s="350" t="s">
        <v>2308</v>
      </c>
      <c r="E175" s="398">
        <f>'Тарифные ставки'!$B$5</f>
        <v>137.4825</v>
      </c>
      <c r="F175" s="398">
        <v>0.44</v>
      </c>
      <c r="G175" s="398">
        <f t="shared" si="11"/>
        <v>60.49229999999999</v>
      </c>
      <c r="H175" s="398">
        <f>G175*'Тарифные ставки'!$B$13</f>
        <v>156.070134</v>
      </c>
      <c r="I175" s="398">
        <f>H175*'Тарифные ставки'!$B$14*'Тарифные ставки'!$B$15</f>
        <v>189.157002408</v>
      </c>
      <c r="J175" s="398">
        <f>I175-I175/'Тарифные ставки'!$B$15</f>
        <v>31.526167068000007</v>
      </c>
      <c r="K175" s="480">
        <v>158.23692720000003</v>
      </c>
      <c r="L175" s="491">
        <f t="shared" si="8"/>
        <v>19.54036630711316</v>
      </c>
    </row>
    <row r="176" spans="1:12" ht="15.75" hidden="1">
      <c r="A176" s="67"/>
      <c r="B176" s="14" t="s">
        <v>552</v>
      </c>
      <c r="C176" s="68"/>
      <c r="D176" s="66"/>
      <c r="E176" s="396">
        <v>78.97</v>
      </c>
      <c r="F176" s="396">
        <v>0.6</v>
      </c>
      <c r="G176" s="396">
        <f t="shared" si="11"/>
        <v>47.382</v>
      </c>
      <c r="H176" s="396">
        <f>G176*'Тарифные ставки'!$B$13</f>
        <v>122.24556</v>
      </c>
      <c r="I176" s="396"/>
      <c r="J176" s="396"/>
      <c r="K176" s="465"/>
      <c r="L176" s="457" t="e">
        <f t="shared" si="8"/>
        <v>#DIV/0!</v>
      </c>
    </row>
    <row r="177" spans="1:12" ht="15.75" hidden="1">
      <c r="A177" s="67"/>
      <c r="B177" s="14" t="s">
        <v>731</v>
      </c>
      <c r="C177" s="68"/>
      <c r="D177" s="66"/>
      <c r="E177" s="396">
        <v>78.97</v>
      </c>
      <c r="F177" s="396">
        <v>0.82</v>
      </c>
      <c r="G177" s="396">
        <f t="shared" si="11"/>
        <v>64.7554</v>
      </c>
      <c r="H177" s="396">
        <f>G177*'Тарифные ставки'!$B$13</f>
        <v>167.068932</v>
      </c>
      <c r="I177" s="396"/>
      <c r="J177" s="396"/>
      <c r="K177" s="465"/>
      <c r="L177" s="457" t="e">
        <f t="shared" si="8"/>
        <v>#DIV/0!</v>
      </c>
    </row>
    <row r="178" spans="1:12" ht="47.25">
      <c r="A178" s="73" t="s">
        <v>741</v>
      </c>
      <c r="B178" s="39" t="s">
        <v>2398</v>
      </c>
      <c r="C178" s="74" t="s">
        <v>182</v>
      </c>
      <c r="D178" s="350" t="s">
        <v>2308</v>
      </c>
      <c r="E178" s="398">
        <f>'Тарифные ставки'!$B$5</f>
        <v>137.4825</v>
      </c>
      <c r="F178" s="398">
        <v>0.88</v>
      </c>
      <c r="G178" s="398">
        <f t="shared" si="11"/>
        <v>120.98459999999999</v>
      </c>
      <c r="H178" s="398">
        <f>G178*'Тарифные ставки'!$B$13</f>
        <v>312.140268</v>
      </c>
      <c r="I178" s="398">
        <f>H178*'Тарифные ставки'!$B$14*'Тарифные ставки'!$B$15</f>
        <v>378.314004816</v>
      </c>
      <c r="J178" s="398">
        <f>I178-I178/'Тарифные ставки'!$B$15</f>
        <v>63.05233413600001</v>
      </c>
      <c r="K178" s="480">
        <v>316.47385440000005</v>
      </c>
      <c r="L178" s="491">
        <f t="shared" si="8"/>
        <v>19.54036630711316</v>
      </c>
    </row>
    <row r="179" spans="1:12" ht="15.75" hidden="1">
      <c r="A179" s="67"/>
      <c r="B179" s="14" t="s">
        <v>552</v>
      </c>
      <c r="C179" s="68"/>
      <c r="D179" s="66"/>
      <c r="E179" s="396">
        <v>78.97</v>
      </c>
      <c r="F179" s="396">
        <v>1.2</v>
      </c>
      <c r="G179" s="396">
        <f t="shared" si="11"/>
        <v>94.764</v>
      </c>
      <c r="H179" s="396">
        <f>G179*'Тарифные ставки'!$B$13</f>
        <v>244.49112</v>
      </c>
      <c r="I179" s="396"/>
      <c r="J179" s="396"/>
      <c r="K179" s="465"/>
      <c r="L179" s="457" t="e">
        <f t="shared" si="8"/>
        <v>#DIV/0!</v>
      </c>
    </row>
    <row r="180" spans="1:12" ht="15.75" hidden="1">
      <c r="A180" s="67"/>
      <c r="B180" s="14" t="s">
        <v>731</v>
      </c>
      <c r="C180" s="68"/>
      <c r="D180" s="66"/>
      <c r="E180" s="396">
        <v>78.97</v>
      </c>
      <c r="F180" s="396">
        <v>1.64</v>
      </c>
      <c r="G180" s="396">
        <f t="shared" si="11"/>
        <v>129.5108</v>
      </c>
      <c r="H180" s="396">
        <f>G180*'Тарифные ставки'!$B$13</f>
        <v>334.137864</v>
      </c>
      <c r="I180" s="396"/>
      <c r="J180" s="396"/>
      <c r="K180" s="465"/>
      <c r="L180" s="457" t="e">
        <f t="shared" si="8"/>
        <v>#DIV/0!</v>
      </c>
    </row>
    <row r="181" spans="1:12" ht="31.5">
      <c r="A181" s="73" t="s">
        <v>742</v>
      </c>
      <c r="B181" s="39" t="s">
        <v>2399</v>
      </c>
      <c r="C181" s="74" t="s">
        <v>182</v>
      </c>
      <c r="D181" s="350" t="s">
        <v>2308</v>
      </c>
      <c r="E181" s="398">
        <f>'Тарифные ставки'!$B$5</f>
        <v>137.4825</v>
      </c>
      <c r="F181" s="398">
        <v>1.1</v>
      </c>
      <c r="G181" s="398">
        <f t="shared" si="11"/>
        <v>151.23075</v>
      </c>
      <c r="H181" s="398">
        <f>G181*'Тарифные ставки'!$B$13</f>
        <v>390.175335</v>
      </c>
      <c r="I181" s="398">
        <f>H181*'Тарифные ставки'!$B$14*'Тарифные ставки'!$B$15</f>
        <v>472.89250602</v>
      </c>
      <c r="J181" s="398">
        <f>I181-I181/'Тарифные ставки'!$B$15</f>
        <v>78.81541766999999</v>
      </c>
      <c r="K181" s="480">
        <v>395.5923180000001</v>
      </c>
      <c r="L181" s="491">
        <f t="shared" si="8"/>
        <v>19.540366307113132</v>
      </c>
    </row>
    <row r="182" spans="1:12" ht="15.75" hidden="1">
      <c r="A182" s="67"/>
      <c r="B182" s="14" t="s">
        <v>552</v>
      </c>
      <c r="C182" s="68"/>
      <c r="D182" s="66"/>
      <c r="E182" s="396">
        <v>78.97</v>
      </c>
      <c r="F182" s="396">
        <v>1.5</v>
      </c>
      <c r="G182" s="396">
        <f t="shared" si="11"/>
        <v>118.455</v>
      </c>
      <c r="H182" s="396">
        <f>G182*'Тарифные ставки'!$B$13</f>
        <v>305.6139</v>
      </c>
      <c r="I182" s="396"/>
      <c r="J182" s="396"/>
      <c r="K182" s="465"/>
      <c r="L182" s="457" t="e">
        <f t="shared" si="8"/>
        <v>#DIV/0!</v>
      </c>
    </row>
    <row r="183" spans="1:12" ht="15.75" hidden="1">
      <c r="A183" s="67"/>
      <c r="B183" s="14" t="s">
        <v>731</v>
      </c>
      <c r="C183" s="68"/>
      <c r="D183" s="66"/>
      <c r="E183" s="396">
        <v>78.97</v>
      </c>
      <c r="F183" s="396">
        <v>2.05</v>
      </c>
      <c r="G183" s="396">
        <f t="shared" si="11"/>
        <v>161.8885</v>
      </c>
      <c r="H183" s="396">
        <f>G183*'Тарифные ставки'!$B$13</f>
        <v>417.67233</v>
      </c>
      <c r="I183" s="396"/>
      <c r="J183" s="396"/>
      <c r="K183" s="465"/>
      <c r="L183" s="457" t="e">
        <f t="shared" si="8"/>
        <v>#DIV/0!</v>
      </c>
    </row>
    <row r="184" spans="1:12" ht="31.5">
      <c r="A184" s="73" t="s">
        <v>1351</v>
      </c>
      <c r="B184" s="39" t="s">
        <v>2400</v>
      </c>
      <c r="C184" s="74" t="s">
        <v>1352</v>
      </c>
      <c r="D184" s="350" t="s">
        <v>2308</v>
      </c>
      <c r="E184" s="398">
        <f>'Тарифные ставки'!$B$5</f>
        <v>137.4825</v>
      </c>
      <c r="F184" s="398">
        <v>0.61</v>
      </c>
      <c r="G184" s="398">
        <f t="shared" si="11"/>
        <v>83.864325</v>
      </c>
      <c r="H184" s="398">
        <f>G184*'Тарифные ставки'!$B$13</f>
        <v>216.3699585</v>
      </c>
      <c r="I184" s="398">
        <f>H184*'Тарифные ставки'!$B$14*'Тарифные ставки'!$B$15</f>
        <v>262.24038970199996</v>
      </c>
      <c r="J184" s="398">
        <f>I184-I184/'Тарифные ставки'!$B$15</f>
        <v>43.706731616999974</v>
      </c>
      <c r="K184" s="480">
        <v>219.37392180000006</v>
      </c>
      <c r="L184" s="491">
        <f t="shared" si="8"/>
        <v>19.540366307113118</v>
      </c>
    </row>
    <row r="185" spans="1:12" ht="15.75" hidden="1">
      <c r="A185" s="67"/>
      <c r="B185" s="14" t="s">
        <v>552</v>
      </c>
      <c r="C185" s="68"/>
      <c r="D185" s="66"/>
      <c r="E185" s="396">
        <v>78.97</v>
      </c>
      <c r="F185" s="396">
        <v>1.22</v>
      </c>
      <c r="G185" s="396">
        <f t="shared" si="11"/>
        <v>96.3434</v>
      </c>
      <c r="H185" s="396">
        <f>G185*'Тарифные ставки'!$B$13</f>
        <v>248.56597200000002</v>
      </c>
      <c r="I185" s="396"/>
      <c r="J185" s="396"/>
      <c r="K185" s="465"/>
      <c r="L185" s="457" t="e">
        <f t="shared" si="8"/>
        <v>#DIV/0!</v>
      </c>
    </row>
    <row r="186" spans="1:12" ht="15.75" hidden="1">
      <c r="A186" s="67"/>
      <c r="B186" s="14" t="s">
        <v>731</v>
      </c>
      <c r="C186" s="68"/>
      <c r="D186" s="66"/>
      <c r="E186" s="396">
        <v>78.97</v>
      </c>
      <c r="F186" s="396">
        <v>1.84</v>
      </c>
      <c r="G186" s="396">
        <f t="shared" si="11"/>
        <v>145.3048</v>
      </c>
      <c r="H186" s="396">
        <f>G186*'Тарифные ставки'!$B$13</f>
        <v>374.886384</v>
      </c>
      <c r="I186" s="396"/>
      <c r="J186" s="396"/>
      <c r="K186" s="465"/>
      <c r="L186" s="457" t="e">
        <f t="shared" si="8"/>
        <v>#DIV/0!</v>
      </c>
    </row>
    <row r="187" spans="1:12" ht="63">
      <c r="A187" s="73" t="s">
        <v>1353</v>
      </c>
      <c r="B187" s="39" t="s">
        <v>2455</v>
      </c>
      <c r="C187" s="74" t="s">
        <v>1033</v>
      </c>
      <c r="D187" s="350" t="s">
        <v>2308</v>
      </c>
      <c r="E187" s="398">
        <f>'Тарифные ставки'!$B$5</f>
        <v>137.4825</v>
      </c>
      <c r="F187" s="398">
        <v>0.33</v>
      </c>
      <c r="G187" s="398">
        <f t="shared" si="11"/>
        <v>45.369225</v>
      </c>
      <c r="H187" s="398">
        <f>G187*'Тарифные ставки'!$B$13</f>
        <v>117.0526005</v>
      </c>
      <c r="I187" s="398">
        <f>H187*'Тарифные ставки'!$B$14*'Тарифные ставки'!$B$15</f>
        <v>141.867751806</v>
      </c>
      <c r="J187" s="398">
        <f>I187-I187/'Тарифные ставки'!$B$15</f>
        <v>23.64462530099999</v>
      </c>
      <c r="K187" s="480">
        <v>118.6776954</v>
      </c>
      <c r="L187" s="491">
        <f t="shared" si="8"/>
        <v>19.540366307113175</v>
      </c>
    </row>
    <row r="188" spans="1:12" ht="15.75" hidden="1">
      <c r="A188" s="69" t="s">
        <v>1354</v>
      </c>
      <c r="B188" s="30" t="s">
        <v>1355</v>
      </c>
      <c r="C188" s="76" t="s">
        <v>1356</v>
      </c>
      <c r="D188" s="239" t="s">
        <v>2308</v>
      </c>
      <c r="E188" s="396">
        <v>78.97</v>
      </c>
      <c r="F188" s="399">
        <v>0.52</v>
      </c>
      <c r="G188" s="399">
        <f t="shared" si="11"/>
        <v>41.0644</v>
      </c>
      <c r="H188" s="399">
        <f>G188*'Тарифные ставки'!$B$13</f>
        <v>105.946152</v>
      </c>
      <c r="I188" s="399"/>
      <c r="J188" s="399"/>
      <c r="K188" s="465"/>
      <c r="L188" s="457" t="e">
        <f t="shared" si="8"/>
        <v>#DIV/0!</v>
      </c>
    </row>
    <row r="189" spans="1:12" ht="15.75" hidden="1">
      <c r="A189" s="73" t="s">
        <v>1357</v>
      </c>
      <c r="B189" s="77" t="s">
        <v>1358</v>
      </c>
      <c r="C189" s="74" t="s">
        <v>1356</v>
      </c>
      <c r="D189" s="239" t="s">
        <v>2308</v>
      </c>
      <c r="E189" s="396">
        <v>78.97</v>
      </c>
      <c r="F189" s="398">
        <v>0.52</v>
      </c>
      <c r="G189" s="398">
        <f t="shared" si="11"/>
        <v>41.0644</v>
      </c>
      <c r="H189" s="398">
        <f>G189*'Тарифные ставки'!$B$13</f>
        <v>105.946152</v>
      </c>
      <c r="I189" s="398"/>
      <c r="J189" s="398"/>
      <c r="K189" s="465"/>
      <c r="L189" s="457" t="e">
        <f t="shared" si="8"/>
        <v>#DIV/0!</v>
      </c>
    </row>
    <row r="190" spans="1:12" ht="15.75" hidden="1">
      <c r="A190" s="659" t="s">
        <v>1359</v>
      </c>
      <c r="B190" s="656" t="s">
        <v>638</v>
      </c>
      <c r="C190" s="80" t="s">
        <v>1360</v>
      </c>
      <c r="D190" s="237" t="s">
        <v>846</v>
      </c>
      <c r="E190" s="400">
        <v>85.02</v>
      </c>
      <c r="F190" s="400">
        <v>1.44</v>
      </c>
      <c r="G190" s="400">
        <f t="shared" si="11"/>
        <v>122.4288</v>
      </c>
      <c r="H190" s="400">
        <f>(G190+G191)*'Тарифные ставки'!$B$13</f>
        <v>898.57014</v>
      </c>
      <c r="I190" s="400"/>
      <c r="J190" s="400"/>
      <c r="K190" s="465"/>
      <c r="L190" s="457" t="e">
        <f t="shared" si="8"/>
        <v>#DIV/0!</v>
      </c>
    </row>
    <row r="191" spans="1:12" ht="15.75" hidden="1">
      <c r="A191" s="660"/>
      <c r="B191" s="658"/>
      <c r="C191" s="69"/>
      <c r="D191" s="239" t="s">
        <v>2308</v>
      </c>
      <c r="E191" s="396">
        <v>78.97</v>
      </c>
      <c r="F191" s="399" t="s">
        <v>1361</v>
      </c>
      <c r="G191" s="399">
        <f t="shared" si="11"/>
        <v>225.8542</v>
      </c>
      <c r="H191" s="399"/>
      <c r="I191" s="399"/>
      <c r="J191" s="399"/>
      <c r="K191" s="465"/>
      <c r="L191" s="457" t="e">
        <f t="shared" si="8"/>
        <v>#DIV/0!</v>
      </c>
    </row>
    <row r="192" spans="1:12" ht="15.75" hidden="1">
      <c r="A192" s="659" t="s">
        <v>1362</v>
      </c>
      <c r="B192" s="81" t="s">
        <v>1443</v>
      </c>
      <c r="C192" s="80" t="s">
        <v>1360</v>
      </c>
      <c r="D192" s="237" t="s">
        <v>846</v>
      </c>
      <c r="E192" s="400">
        <v>85.02</v>
      </c>
      <c r="F192" s="400">
        <v>0.9</v>
      </c>
      <c r="G192" s="400">
        <f t="shared" si="11"/>
        <v>76.518</v>
      </c>
      <c r="H192" s="400">
        <f>(G192+G193)*'Тарифные ставки'!$B$13</f>
        <v>584.52738</v>
      </c>
      <c r="I192" s="400"/>
      <c r="J192" s="400"/>
      <c r="K192" s="465"/>
      <c r="L192" s="457" t="e">
        <f t="shared" si="8"/>
        <v>#DIV/0!</v>
      </c>
    </row>
    <row r="193" spans="1:12" ht="15.75" hidden="1">
      <c r="A193" s="660"/>
      <c r="B193" s="82"/>
      <c r="C193" s="69"/>
      <c r="D193" s="239" t="s">
        <v>2308</v>
      </c>
      <c r="E193" s="396">
        <v>78.97</v>
      </c>
      <c r="F193" s="399">
        <v>1.9</v>
      </c>
      <c r="G193" s="399">
        <f t="shared" si="11"/>
        <v>150.04299999999998</v>
      </c>
      <c r="H193" s="399"/>
      <c r="I193" s="399"/>
      <c r="J193" s="399"/>
      <c r="K193" s="465"/>
      <c r="L193" s="457" t="e">
        <f t="shared" si="8"/>
        <v>#DIV/0!</v>
      </c>
    </row>
    <row r="194" spans="1:12" ht="31.5" hidden="1">
      <c r="A194" s="659" t="s">
        <v>1363</v>
      </c>
      <c r="B194" s="12" t="s">
        <v>2052</v>
      </c>
      <c r="C194" s="242" t="s">
        <v>1360</v>
      </c>
      <c r="D194" s="228" t="s">
        <v>846</v>
      </c>
      <c r="E194" s="400">
        <v>85.02</v>
      </c>
      <c r="F194" s="475">
        <v>1.73</v>
      </c>
      <c r="G194" s="396">
        <f t="shared" si="11"/>
        <v>147.0846</v>
      </c>
      <c r="H194" s="400">
        <f>(G194+G195+G196)*'Тарифные ставки'!$B$13</f>
        <v>1112.951628</v>
      </c>
      <c r="I194" s="396"/>
      <c r="J194" s="396"/>
      <c r="K194" s="465"/>
      <c r="L194" s="457" t="e">
        <f t="shared" si="8"/>
        <v>#DIV/0!</v>
      </c>
    </row>
    <row r="195" spans="1:12" ht="15.75" hidden="1">
      <c r="A195" s="667"/>
      <c r="B195" s="12"/>
      <c r="C195" s="241"/>
      <c r="D195" s="237" t="s">
        <v>2308</v>
      </c>
      <c r="E195" s="396">
        <v>78.97</v>
      </c>
      <c r="F195" s="475">
        <v>1.8</v>
      </c>
      <c r="G195" s="396">
        <f t="shared" si="11"/>
        <v>142.14600000000002</v>
      </c>
      <c r="H195" s="396"/>
      <c r="I195" s="396"/>
      <c r="J195" s="396"/>
      <c r="K195" s="465"/>
      <c r="L195" s="457" t="e">
        <f t="shared" si="8"/>
        <v>#DIV/0!</v>
      </c>
    </row>
    <row r="196" spans="1:12" ht="15.75" hidden="1">
      <c r="A196" s="660"/>
      <c r="B196" s="30"/>
      <c r="C196" s="243"/>
      <c r="D196" s="239" t="s">
        <v>2308</v>
      </c>
      <c r="E196" s="396">
        <v>78.97</v>
      </c>
      <c r="F196" s="466">
        <v>1.8</v>
      </c>
      <c r="G196" s="399">
        <f t="shared" si="11"/>
        <v>142.14600000000002</v>
      </c>
      <c r="H196" s="399"/>
      <c r="I196" s="399"/>
      <c r="J196" s="399"/>
      <c r="K196" s="465"/>
      <c r="L196" s="457" t="e">
        <f t="shared" si="8"/>
        <v>#DIV/0!</v>
      </c>
    </row>
    <row r="197" spans="1:12" ht="15.75" hidden="1">
      <c r="A197" s="659" t="s">
        <v>2053</v>
      </c>
      <c r="B197" s="85" t="s">
        <v>2054</v>
      </c>
      <c r="C197" s="242" t="s">
        <v>1360</v>
      </c>
      <c r="D197" s="228" t="s">
        <v>846</v>
      </c>
      <c r="E197" s="400">
        <v>85.02</v>
      </c>
      <c r="F197" s="475">
        <v>1.73</v>
      </c>
      <c r="G197" s="396">
        <f t="shared" si="11"/>
        <v>147.0846</v>
      </c>
      <c r="H197" s="400">
        <f>(G197+G198+G199)*'Тарифные ставки'!$B$13</f>
        <v>1112.951628</v>
      </c>
      <c r="I197" s="396"/>
      <c r="J197" s="396"/>
      <c r="K197" s="465"/>
      <c r="L197" s="457" t="e">
        <f t="shared" si="8"/>
        <v>#DIV/0!</v>
      </c>
    </row>
    <row r="198" spans="1:12" ht="15.75" hidden="1">
      <c r="A198" s="667"/>
      <c r="B198" s="12"/>
      <c r="C198" s="241"/>
      <c r="D198" s="237" t="s">
        <v>2308</v>
      </c>
      <c r="E198" s="396">
        <v>78.97</v>
      </c>
      <c r="F198" s="475">
        <v>1.8</v>
      </c>
      <c r="G198" s="396">
        <f t="shared" si="11"/>
        <v>142.14600000000002</v>
      </c>
      <c r="H198" s="396"/>
      <c r="I198" s="396"/>
      <c r="J198" s="396"/>
      <c r="K198" s="465"/>
      <c r="L198" s="457" t="e">
        <f t="shared" si="8"/>
        <v>#DIV/0!</v>
      </c>
    </row>
    <row r="199" spans="1:12" ht="15.75" hidden="1">
      <c r="A199" s="660"/>
      <c r="B199" s="30"/>
      <c r="C199" s="243"/>
      <c r="D199" s="233" t="s">
        <v>2308</v>
      </c>
      <c r="E199" s="396">
        <v>78.97</v>
      </c>
      <c r="F199" s="466">
        <v>1.8</v>
      </c>
      <c r="G199" s="399">
        <f t="shared" si="11"/>
        <v>142.14600000000002</v>
      </c>
      <c r="H199" s="399"/>
      <c r="I199" s="399"/>
      <c r="J199" s="399"/>
      <c r="K199" s="465"/>
      <c r="L199" s="457" t="e">
        <f aca="true" t="shared" si="12" ref="L199:L258">I199/K199*100-100</f>
        <v>#DIV/0!</v>
      </c>
    </row>
    <row r="200" spans="1:12" ht="15.75" hidden="1">
      <c r="A200" s="73" t="s">
        <v>2055</v>
      </c>
      <c r="B200" s="77" t="s">
        <v>639</v>
      </c>
      <c r="C200" s="86" t="s">
        <v>1360</v>
      </c>
      <c r="D200" s="239" t="s">
        <v>2308</v>
      </c>
      <c r="E200" s="396">
        <v>78.97</v>
      </c>
      <c r="F200" s="399">
        <v>2.76</v>
      </c>
      <c r="G200" s="398">
        <f t="shared" si="11"/>
        <v>217.95719999999997</v>
      </c>
      <c r="H200" s="398">
        <f>G200*'Тарифные ставки'!$B$13</f>
        <v>562.329576</v>
      </c>
      <c r="I200" s="398"/>
      <c r="J200" s="398"/>
      <c r="K200" s="465"/>
      <c r="L200" s="457" t="e">
        <f t="shared" si="12"/>
        <v>#DIV/0!</v>
      </c>
    </row>
    <row r="201" spans="1:12" ht="15.75" hidden="1">
      <c r="A201" s="73" t="s">
        <v>2056</v>
      </c>
      <c r="B201" s="77" t="s">
        <v>1443</v>
      </c>
      <c r="C201" s="86" t="s">
        <v>1360</v>
      </c>
      <c r="D201" s="239" t="s">
        <v>2308</v>
      </c>
      <c r="E201" s="396">
        <v>78.97</v>
      </c>
      <c r="F201" s="398">
        <v>1.75</v>
      </c>
      <c r="G201" s="398">
        <f t="shared" si="11"/>
        <v>138.1975</v>
      </c>
      <c r="H201" s="398">
        <f>G201*'Тарифные ставки'!$B$13</f>
        <v>356.54955</v>
      </c>
      <c r="I201" s="398"/>
      <c r="J201" s="398"/>
      <c r="K201" s="465"/>
      <c r="L201" s="457" t="e">
        <f t="shared" si="12"/>
        <v>#DIV/0!</v>
      </c>
    </row>
    <row r="202" spans="1:12" ht="15.75" hidden="1">
      <c r="A202" s="73" t="s">
        <v>2057</v>
      </c>
      <c r="B202" s="77" t="s">
        <v>2058</v>
      </c>
      <c r="C202" s="86" t="s">
        <v>1360</v>
      </c>
      <c r="D202" s="239" t="s">
        <v>2308</v>
      </c>
      <c r="E202" s="396">
        <v>78.97</v>
      </c>
      <c r="F202" s="398">
        <v>0.32</v>
      </c>
      <c r="G202" s="398">
        <f t="shared" si="11"/>
        <v>25.2704</v>
      </c>
      <c r="H202" s="398">
        <f>G202*'Тарифные ставки'!$B$13</f>
        <v>65.197632</v>
      </c>
      <c r="I202" s="398"/>
      <c r="J202" s="398"/>
      <c r="K202" s="465"/>
      <c r="L202" s="457" t="e">
        <f t="shared" si="12"/>
        <v>#DIV/0!</v>
      </c>
    </row>
    <row r="203" spans="1:12" ht="15.75" hidden="1">
      <c r="A203" s="73" t="s">
        <v>2059</v>
      </c>
      <c r="B203" s="77" t="s">
        <v>2060</v>
      </c>
      <c r="C203" s="87" t="s">
        <v>1356</v>
      </c>
      <c r="D203" s="239" t="s">
        <v>2308</v>
      </c>
      <c r="E203" s="396">
        <v>78.97</v>
      </c>
      <c r="F203" s="398">
        <v>0.36</v>
      </c>
      <c r="G203" s="398">
        <f t="shared" si="11"/>
        <v>28.429199999999998</v>
      </c>
      <c r="H203" s="398">
        <f>G203*'Тарифные ставки'!$B$13</f>
        <v>73.347336</v>
      </c>
      <c r="I203" s="398"/>
      <c r="J203" s="398"/>
      <c r="K203" s="465"/>
      <c r="L203" s="457" t="e">
        <f t="shared" si="12"/>
        <v>#DIV/0!</v>
      </c>
    </row>
    <row r="204" spans="1:12" ht="31.5" hidden="1">
      <c r="A204" s="73" t="s">
        <v>2061</v>
      </c>
      <c r="B204" s="77" t="s">
        <v>640</v>
      </c>
      <c r="C204" s="88" t="s">
        <v>2062</v>
      </c>
      <c r="D204" s="239" t="s">
        <v>2308</v>
      </c>
      <c r="E204" s="396">
        <v>78.97</v>
      </c>
      <c r="F204" s="398">
        <v>7.85</v>
      </c>
      <c r="G204" s="398">
        <f t="shared" si="11"/>
        <v>619.9145</v>
      </c>
      <c r="H204" s="398">
        <f>G204*'Тарифные ставки'!$B$13</f>
        <v>1599.37941</v>
      </c>
      <c r="I204" s="398"/>
      <c r="J204" s="398"/>
      <c r="K204" s="465"/>
      <c r="L204" s="457" t="e">
        <f t="shared" si="12"/>
        <v>#DIV/0!</v>
      </c>
    </row>
    <row r="205" spans="1:12" ht="15.75" hidden="1">
      <c r="A205" s="73" t="s">
        <v>2063</v>
      </c>
      <c r="B205" s="77" t="s">
        <v>1443</v>
      </c>
      <c r="C205" s="89" t="s">
        <v>2062</v>
      </c>
      <c r="D205" s="239" t="s">
        <v>2308</v>
      </c>
      <c r="E205" s="396">
        <v>78.97</v>
      </c>
      <c r="F205" s="399">
        <v>1.93</v>
      </c>
      <c r="G205" s="398">
        <f t="shared" si="11"/>
        <v>152.41209999999998</v>
      </c>
      <c r="H205" s="398">
        <f>G205*'Тарифные ставки'!$B$13</f>
        <v>393.223218</v>
      </c>
      <c r="I205" s="398"/>
      <c r="J205" s="398"/>
      <c r="K205" s="465"/>
      <c r="L205" s="457" t="e">
        <f t="shared" si="12"/>
        <v>#DIV/0!</v>
      </c>
    </row>
    <row r="206" spans="1:12" ht="47.25" hidden="1">
      <c r="A206" s="71" t="s">
        <v>2064</v>
      </c>
      <c r="B206" s="81" t="s">
        <v>641</v>
      </c>
      <c r="C206" s="483" t="s">
        <v>2065</v>
      </c>
      <c r="D206" s="238" t="s">
        <v>2308</v>
      </c>
      <c r="E206" s="396">
        <v>78.97</v>
      </c>
      <c r="F206" s="400">
        <v>9.2</v>
      </c>
      <c r="G206" s="400">
        <f t="shared" si="11"/>
        <v>726.5239999999999</v>
      </c>
      <c r="H206" s="400">
        <f>G206*'Тарифные ставки'!$B$13</f>
        <v>1874.4319199999998</v>
      </c>
      <c r="I206" s="400"/>
      <c r="J206" s="400"/>
      <c r="K206" s="465"/>
      <c r="L206" s="457" t="e">
        <f t="shared" si="12"/>
        <v>#DIV/0!</v>
      </c>
    </row>
    <row r="207" spans="1:12" ht="31.5">
      <c r="A207" s="73" t="s">
        <v>2066</v>
      </c>
      <c r="B207" s="77" t="s">
        <v>642</v>
      </c>
      <c r="C207" s="89" t="s">
        <v>1052</v>
      </c>
      <c r="D207" s="350" t="s">
        <v>2308</v>
      </c>
      <c r="E207" s="398">
        <f>'Тарифные ставки'!$B$5</f>
        <v>137.4825</v>
      </c>
      <c r="F207" s="398">
        <v>1.2</v>
      </c>
      <c r="G207" s="398">
        <f t="shared" si="11"/>
        <v>164.97899999999998</v>
      </c>
      <c r="H207" s="398">
        <f>G207*'Тарифные ставки'!$B$13</f>
        <v>425.64581999999996</v>
      </c>
      <c r="I207" s="398">
        <f>H207*'Тарифные ставки'!$B$14*'Тарифные ставки'!$B$15</f>
        <v>515.8827338399999</v>
      </c>
      <c r="J207" s="398">
        <f>I207-I207/'Тарифные ставки'!$B$15</f>
        <v>85.98045563999995</v>
      </c>
      <c r="K207" s="480">
        <v>431.5552560000001</v>
      </c>
      <c r="L207" s="491">
        <f t="shared" si="12"/>
        <v>19.540366307113132</v>
      </c>
    </row>
    <row r="208" spans="1:12" ht="15.75">
      <c r="A208" s="73" t="s">
        <v>2067</v>
      </c>
      <c r="B208" s="77" t="s">
        <v>2068</v>
      </c>
      <c r="C208" s="89" t="s">
        <v>174</v>
      </c>
      <c r="D208" s="350" t="s">
        <v>2308</v>
      </c>
      <c r="E208" s="398">
        <f>'Тарифные ставки'!$B$5</f>
        <v>137.4825</v>
      </c>
      <c r="F208" s="398">
        <v>1.64</v>
      </c>
      <c r="G208" s="398">
        <f t="shared" si="11"/>
        <v>225.47129999999996</v>
      </c>
      <c r="H208" s="398">
        <f>G208*'Тарифные ставки'!$B$13</f>
        <v>581.7159539999999</v>
      </c>
      <c r="I208" s="398">
        <f>H208*'Тарифные ставки'!$B$14*'Тарифные ставки'!$B$15</f>
        <v>705.0397362479999</v>
      </c>
      <c r="J208" s="398">
        <f>I208-I208/'Тарифные ставки'!$B$15</f>
        <v>117.50662270800001</v>
      </c>
      <c r="K208" s="480">
        <v>589.7921832</v>
      </c>
      <c r="L208" s="491">
        <f t="shared" si="12"/>
        <v>19.540366307113175</v>
      </c>
    </row>
    <row r="209" spans="1:12" ht="31.5" hidden="1">
      <c r="A209" s="69" t="s">
        <v>545</v>
      </c>
      <c r="B209" s="82" t="s">
        <v>546</v>
      </c>
      <c r="C209" s="484" t="s">
        <v>174</v>
      </c>
      <c r="D209" s="239" t="s">
        <v>2308</v>
      </c>
      <c r="E209" s="396">
        <v>78.97</v>
      </c>
      <c r="F209" s="399">
        <v>8.06</v>
      </c>
      <c r="G209" s="399">
        <f t="shared" si="11"/>
        <v>636.4982</v>
      </c>
      <c r="H209" s="399">
        <f>G209*'Тарифные ставки'!$B$13</f>
        <v>1642.165356</v>
      </c>
      <c r="I209" s="399"/>
      <c r="J209" s="399"/>
      <c r="K209" s="465"/>
      <c r="L209" s="457" t="e">
        <f t="shared" si="12"/>
        <v>#DIV/0!</v>
      </c>
    </row>
    <row r="210" spans="1:12" ht="31.5" hidden="1">
      <c r="A210" s="71" t="s">
        <v>547</v>
      </c>
      <c r="B210" s="81" t="s">
        <v>548</v>
      </c>
      <c r="C210" s="483" t="s">
        <v>174</v>
      </c>
      <c r="D210" s="238" t="s">
        <v>2308</v>
      </c>
      <c r="E210" s="396">
        <v>78.97</v>
      </c>
      <c r="F210" s="400">
        <v>3.41</v>
      </c>
      <c r="G210" s="400">
        <f t="shared" si="11"/>
        <v>269.28770000000003</v>
      </c>
      <c r="H210" s="400">
        <f>G210*'Тарифные ставки'!$B$13</f>
        <v>694.7622660000001</v>
      </c>
      <c r="I210" s="400"/>
      <c r="J210" s="400"/>
      <c r="K210" s="465"/>
      <c r="L210" s="457" t="e">
        <f t="shared" si="12"/>
        <v>#DIV/0!</v>
      </c>
    </row>
    <row r="211" spans="1:12" ht="15.75">
      <c r="A211" s="73" t="s">
        <v>549</v>
      </c>
      <c r="B211" s="77" t="s">
        <v>120</v>
      </c>
      <c r="C211" s="89" t="s">
        <v>174</v>
      </c>
      <c r="D211" s="350" t="s">
        <v>2308</v>
      </c>
      <c r="E211" s="398">
        <f>'Тарифные ставки'!$B$5</f>
        <v>137.4825</v>
      </c>
      <c r="F211" s="398">
        <v>0.72</v>
      </c>
      <c r="G211" s="398">
        <f t="shared" si="11"/>
        <v>98.9874</v>
      </c>
      <c r="H211" s="398">
        <f>G211*'Тарифные ставки'!$B$13</f>
        <v>255.38749199999998</v>
      </c>
      <c r="I211" s="398">
        <f>H211*'Тарифные ставки'!$B$14*'Тарифные ставки'!$B$15</f>
        <v>309.529640304</v>
      </c>
      <c r="J211" s="398">
        <f>I211-I211/'Тарифные ставки'!$B$15</f>
        <v>51.58827338399999</v>
      </c>
      <c r="K211" s="480">
        <v>258.93315359999997</v>
      </c>
      <c r="L211" s="491">
        <f t="shared" si="12"/>
        <v>19.540366307113175</v>
      </c>
    </row>
    <row r="212" spans="1:12" ht="47.25">
      <c r="A212" s="71" t="s">
        <v>121</v>
      </c>
      <c r="B212" s="81" t="s">
        <v>122</v>
      </c>
      <c r="C212" s="485" t="s">
        <v>174</v>
      </c>
      <c r="D212" s="228" t="s">
        <v>846</v>
      </c>
      <c r="E212" s="400">
        <f>'Тарифные ставки'!$B$4</f>
        <v>148.166</v>
      </c>
      <c r="F212" s="474">
        <v>3</v>
      </c>
      <c r="G212" s="400">
        <f>E212*F212</f>
        <v>444.498</v>
      </c>
      <c r="H212" s="400">
        <f>(G212+G213)*'Тарифные ставки'!$B$13</f>
        <v>3275.0339400000003</v>
      </c>
      <c r="I212" s="400">
        <f>H212*'Тарифные ставки'!$B$14*'Тарифные ставки'!$B$15</f>
        <v>3969.3411352800003</v>
      </c>
      <c r="J212" s="400">
        <f>I212-I212/'Тарифные ставки'!$B$15</f>
        <v>661.5568558800001</v>
      </c>
      <c r="K212" s="478">
        <v>3319.31952</v>
      </c>
      <c r="L212" s="450">
        <f t="shared" si="12"/>
        <v>19.582978118358426</v>
      </c>
    </row>
    <row r="213" spans="1:12" ht="15.75" hidden="1">
      <c r="A213" s="67"/>
      <c r="B213" s="85"/>
      <c r="C213" s="246"/>
      <c r="D213" s="237" t="s">
        <v>2308</v>
      </c>
      <c r="E213" s="396">
        <f>'Тарифные ставки'!$B$5</f>
        <v>137.4825</v>
      </c>
      <c r="F213" s="475">
        <v>6</v>
      </c>
      <c r="G213" s="396">
        <f>E213*F213</f>
        <v>824.895</v>
      </c>
      <c r="H213" s="396"/>
      <c r="I213" s="396"/>
      <c r="J213" s="396"/>
      <c r="K213" s="481"/>
      <c r="L213" s="457"/>
    </row>
    <row r="214" spans="1:12" ht="15.75">
      <c r="A214" s="67"/>
      <c r="B214" s="83" t="s">
        <v>534</v>
      </c>
      <c r="C214" s="241"/>
      <c r="D214" s="237" t="s">
        <v>846</v>
      </c>
      <c r="E214" s="396">
        <f>'Тарифные ставки'!$B$4</f>
        <v>148.166</v>
      </c>
      <c r="F214" s="475">
        <v>4</v>
      </c>
      <c r="G214" s="396">
        <f>E214*F214</f>
        <v>592.664</v>
      </c>
      <c r="H214" s="396">
        <f>(G214+G215)*'Тарифные ставки'!$B$13</f>
        <v>4366.71192</v>
      </c>
      <c r="I214" s="396">
        <f>H214*'Тарифные ставки'!$B$14*'Тарифные ставки'!$B$15</f>
        <v>5292.45484704</v>
      </c>
      <c r="J214" s="396">
        <f>I214-I214/'Тарифные ставки'!$B$15</f>
        <v>882.0758078399995</v>
      </c>
      <c r="K214" s="481">
        <v>4425.75936</v>
      </c>
      <c r="L214" s="457">
        <f t="shared" si="12"/>
        <v>19.58297811835841</v>
      </c>
    </row>
    <row r="215" spans="1:12" ht="15.75" hidden="1">
      <c r="A215" s="69"/>
      <c r="B215" s="84"/>
      <c r="C215" s="243"/>
      <c r="D215" s="233" t="s">
        <v>2308</v>
      </c>
      <c r="E215" s="399">
        <f>'Тарифные ставки'!$B$5</f>
        <v>137.4825</v>
      </c>
      <c r="F215" s="466">
        <v>8</v>
      </c>
      <c r="G215" s="399">
        <f>E215*F215</f>
        <v>1099.86</v>
      </c>
      <c r="H215" s="399"/>
      <c r="I215" s="399"/>
      <c r="J215" s="399"/>
      <c r="K215" s="479"/>
      <c r="L215" s="490"/>
    </row>
    <row r="216" spans="1:12" ht="15.75">
      <c r="A216" s="71" t="s">
        <v>123</v>
      </c>
      <c r="B216" s="656" t="s">
        <v>124</v>
      </c>
      <c r="C216" s="90" t="s">
        <v>174</v>
      </c>
      <c r="D216" s="228" t="s">
        <v>846</v>
      </c>
      <c r="E216" s="400">
        <f>'Тарифные ставки'!$B$4</f>
        <v>148.166</v>
      </c>
      <c r="F216" s="400">
        <v>1.5</v>
      </c>
      <c r="G216" s="400">
        <f>E216*F216</f>
        <v>222.249</v>
      </c>
      <c r="H216" s="400">
        <f>(G216+G217)*'Тарифные ставки'!$B$13</f>
        <v>1105.459695</v>
      </c>
      <c r="I216" s="400">
        <f>H216*'Тарифные ставки'!$B$14*'Тарифные ставки'!$B$15</f>
        <v>1339.81715034</v>
      </c>
      <c r="J216" s="400">
        <f>I216-I216/'Тарифные ставки'!$B$15</f>
        <v>223.30285838999998</v>
      </c>
      <c r="K216" s="478">
        <v>1120.2156900000002</v>
      </c>
      <c r="L216" s="450">
        <f t="shared" si="12"/>
        <v>19.6034979959975</v>
      </c>
    </row>
    <row r="217" spans="1:12" ht="15.75">
      <c r="A217" s="69"/>
      <c r="B217" s="658"/>
      <c r="C217" s="91"/>
      <c r="D217" s="239" t="s">
        <v>2308</v>
      </c>
      <c r="E217" s="399">
        <f>'Тарифные ставки'!$B$5</f>
        <v>137.4825</v>
      </c>
      <c r="F217" s="399">
        <v>1.5</v>
      </c>
      <c r="G217" s="399">
        <f t="shared" si="11"/>
        <v>206.22375</v>
      </c>
      <c r="H217" s="399"/>
      <c r="I217" s="399"/>
      <c r="J217" s="399"/>
      <c r="K217" s="479"/>
      <c r="L217" s="490"/>
    </row>
    <row r="218" spans="1:12" ht="27.75" customHeight="1">
      <c r="A218" s="71" t="s">
        <v>125</v>
      </c>
      <c r="B218" s="656" t="s">
        <v>2456</v>
      </c>
      <c r="C218" s="244" t="s">
        <v>126</v>
      </c>
      <c r="D218" s="228" t="s">
        <v>846</v>
      </c>
      <c r="E218" s="400">
        <f>'Тарифные ставки'!$B$4</f>
        <v>148.166</v>
      </c>
      <c r="F218" s="474">
        <v>1.5</v>
      </c>
      <c r="G218" s="400">
        <f t="shared" si="11"/>
        <v>222.249</v>
      </c>
      <c r="H218" s="400">
        <f>(G218+G219+G220)*'Тарифные ставки'!$B$13</f>
        <v>1774.429185</v>
      </c>
      <c r="I218" s="400">
        <f>H218*'Тарифные ставки'!$B$14*'Тарифные ставки'!$B$15</f>
        <v>2150.60817222</v>
      </c>
      <c r="J218" s="400">
        <f>I218-I218/'Тарифные ставки'!$B$15</f>
        <v>358.4346953699999</v>
      </c>
      <c r="K218" s="478">
        <v>1797.78258</v>
      </c>
      <c r="L218" s="450">
        <f t="shared" si="12"/>
        <v>19.625598564872064</v>
      </c>
    </row>
    <row r="219" spans="1:12" ht="15.75">
      <c r="A219" s="67"/>
      <c r="B219" s="657"/>
      <c r="C219" s="236"/>
      <c r="D219" s="237" t="s">
        <v>2308</v>
      </c>
      <c r="E219" s="396">
        <f>'Тарифные ставки'!$B$5</f>
        <v>137.4825</v>
      </c>
      <c r="F219" s="475">
        <v>1.5</v>
      </c>
      <c r="G219" s="396">
        <f t="shared" si="11"/>
        <v>206.22375</v>
      </c>
      <c r="H219" s="396"/>
      <c r="I219" s="396"/>
      <c r="J219" s="396"/>
      <c r="K219" s="481"/>
      <c r="L219" s="457"/>
    </row>
    <row r="220" spans="1:12" ht="51.75" customHeight="1">
      <c r="A220" s="69"/>
      <c r="B220" s="658"/>
      <c r="C220" s="245"/>
      <c r="D220" s="233" t="s">
        <v>47</v>
      </c>
      <c r="E220" s="399">
        <f>'Тарифные ставки'!$B$6</f>
        <v>148.166</v>
      </c>
      <c r="F220" s="466">
        <v>1.75</v>
      </c>
      <c r="G220" s="399">
        <f t="shared" si="11"/>
        <v>259.2905</v>
      </c>
      <c r="H220" s="399"/>
      <c r="I220" s="399"/>
      <c r="J220" s="399"/>
      <c r="K220" s="479"/>
      <c r="L220" s="490"/>
    </row>
    <row r="221" spans="1:12" ht="49.5" customHeight="1">
      <c r="A221" s="328" t="s">
        <v>83</v>
      </c>
      <c r="B221" s="348" t="s">
        <v>82</v>
      </c>
      <c r="C221" s="348" t="s">
        <v>77</v>
      </c>
      <c r="D221" s="348" t="s">
        <v>81</v>
      </c>
      <c r="E221" s="411" t="s">
        <v>85</v>
      </c>
      <c r="F221" s="411" t="s">
        <v>78</v>
      </c>
      <c r="G221" s="411" t="s">
        <v>79</v>
      </c>
      <c r="H221" s="411" t="s">
        <v>80</v>
      </c>
      <c r="I221" s="495" t="s">
        <v>843</v>
      </c>
      <c r="J221" s="495" t="s">
        <v>2349</v>
      </c>
      <c r="K221" s="492"/>
      <c r="L221" s="493"/>
    </row>
    <row r="222" spans="1:12" ht="15.75">
      <c r="A222" s="71" t="s">
        <v>127</v>
      </c>
      <c r="B222" s="656" t="s">
        <v>128</v>
      </c>
      <c r="C222" s="72" t="s">
        <v>126</v>
      </c>
      <c r="D222" s="228" t="s">
        <v>846</v>
      </c>
      <c r="E222" s="400">
        <f>'Тарифные ставки'!$B$4</f>
        <v>148.166</v>
      </c>
      <c r="F222" s="400">
        <v>2</v>
      </c>
      <c r="G222" s="400">
        <f t="shared" si="11"/>
        <v>296.332</v>
      </c>
      <c r="H222" s="400">
        <f>(G222+G223+G224)*'Тарифные ставки'!$B$13</f>
        <v>2238.48282</v>
      </c>
      <c r="I222" s="400">
        <f>H222*'Тарифные ставки'!$B$14*'Тарифные ставки'!$B$15</f>
        <v>2713.04117784</v>
      </c>
      <c r="J222" s="400">
        <f>I222-I222/'Тарифные ставки'!$B$15</f>
        <v>452.17352963999974</v>
      </c>
      <c r="K222" s="478">
        <v>2267.9830800000004</v>
      </c>
      <c r="L222" s="450">
        <f t="shared" si="12"/>
        <v>19.6235193183187</v>
      </c>
    </row>
    <row r="223" spans="1:12" ht="15.75">
      <c r="A223" s="67"/>
      <c r="B223" s="657"/>
      <c r="C223" s="68"/>
      <c r="D223" s="237" t="s">
        <v>2308</v>
      </c>
      <c r="E223" s="396">
        <f>'Тарифные ставки'!$B$5</f>
        <v>137.4825</v>
      </c>
      <c r="F223" s="396">
        <v>2</v>
      </c>
      <c r="G223" s="396">
        <f t="shared" si="11"/>
        <v>274.965</v>
      </c>
      <c r="H223" s="396"/>
      <c r="I223" s="396"/>
      <c r="J223" s="396"/>
      <c r="K223" s="481"/>
      <c r="L223" s="457"/>
    </row>
    <row r="224" spans="1:12" ht="18.75" customHeight="1">
      <c r="A224" s="69"/>
      <c r="B224" s="658"/>
      <c r="C224" s="70"/>
      <c r="D224" s="233" t="s">
        <v>47</v>
      </c>
      <c r="E224" s="399">
        <f>'Тарифные ставки'!$B$6</f>
        <v>148.166</v>
      </c>
      <c r="F224" s="399">
        <v>2</v>
      </c>
      <c r="G224" s="399">
        <f t="shared" si="11"/>
        <v>296.332</v>
      </c>
      <c r="H224" s="399"/>
      <c r="I224" s="399"/>
      <c r="J224" s="399"/>
      <c r="K224" s="479"/>
      <c r="L224" s="490"/>
    </row>
    <row r="225" spans="1:12" ht="33" customHeight="1">
      <c r="A225" s="664" t="s">
        <v>2457</v>
      </c>
      <c r="B225" s="665"/>
      <c r="C225" s="665"/>
      <c r="D225" s="665"/>
      <c r="E225" s="665"/>
      <c r="F225" s="665"/>
      <c r="G225" s="665"/>
      <c r="H225" s="665"/>
      <c r="I225" s="665"/>
      <c r="J225" s="666"/>
      <c r="L225" s="395"/>
    </row>
    <row r="226" spans="1:12" ht="24.75" customHeight="1">
      <c r="A226" s="71" t="s">
        <v>129</v>
      </c>
      <c r="B226" s="656" t="s">
        <v>2458</v>
      </c>
      <c r="C226" s="92" t="s">
        <v>943</v>
      </c>
      <c r="D226" s="228" t="s">
        <v>2316</v>
      </c>
      <c r="E226" s="400">
        <f>'Тарифные ставки'!$B$5</f>
        <v>137.4825</v>
      </c>
      <c r="F226" s="400">
        <v>2.14</v>
      </c>
      <c r="G226" s="400">
        <f aca="true" t="shared" si="13" ref="G226:G259">E226*F226</f>
        <v>294.21254999999996</v>
      </c>
      <c r="H226" s="400">
        <f>(G226+G227)*'Тарифные ставки'!$B$13</f>
        <v>2277.205137</v>
      </c>
      <c r="I226" s="400">
        <f>H226*'Тарифные ставки'!$B$14*'Тарифные ставки'!$B$15</f>
        <v>2759.9726260439998</v>
      </c>
      <c r="J226" s="400">
        <f>I226-I226/'Тарифные ставки'!$B$15</f>
        <v>459.99543767399973</v>
      </c>
      <c r="K226" s="478">
        <v>2308.8206196</v>
      </c>
      <c r="L226" s="450">
        <f t="shared" si="12"/>
        <v>19.54036630711316</v>
      </c>
    </row>
    <row r="227" spans="1:12" ht="40.5" customHeight="1">
      <c r="A227" s="69"/>
      <c r="B227" s="658"/>
      <c r="C227" s="70"/>
      <c r="D227" s="233" t="s">
        <v>2316</v>
      </c>
      <c r="E227" s="399">
        <f>'Тарифные ставки'!$B$5</f>
        <v>137.4825</v>
      </c>
      <c r="F227" s="399">
        <v>4.28</v>
      </c>
      <c r="G227" s="399">
        <f t="shared" si="13"/>
        <v>588.4250999999999</v>
      </c>
      <c r="H227" s="399"/>
      <c r="I227" s="399"/>
      <c r="J227" s="399"/>
      <c r="K227" s="479"/>
      <c r="L227" s="490"/>
    </row>
    <row r="228" spans="1:12" ht="15.75">
      <c r="A228" s="71" t="s">
        <v>944</v>
      </c>
      <c r="B228" s="656" t="s">
        <v>1614</v>
      </c>
      <c r="C228" s="92" t="s">
        <v>943</v>
      </c>
      <c r="D228" s="228" t="s">
        <v>2316</v>
      </c>
      <c r="E228" s="400">
        <f>'Тарифные ставки'!$B$5</f>
        <v>137.4825</v>
      </c>
      <c r="F228" s="400">
        <v>2.33</v>
      </c>
      <c r="G228" s="400">
        <f t="shared" si="13"/>
        <v>320.334225</v>
      </c>
      <c r="H228" s="400">
        <f>(G228+G229)*'Тарифные ставки'!$B$13</f>
        <v>2482.9339499999996</v>
      </c>
      <c r="I228" s="400">
        <f>H228*'Тарифные ставки'!$B$14*'Тарифные ставки'!$B$15</f>
        <v>3009.3159473999995</v>
      </c>
      <c r="J228" s="400">
        <f>I228-I228/'Тарифные ставки'!$B$15</f>
        <v>501.55265789999976</v>
      </c>
      <c r="K228" s="478">
        <v>2517.40566</v>
      </c>
      <c r="L228" s="450">
        <f t="shared" si="12"/>
        <v>19.54036630711316</v>
      </c>
    </row>
    <row r="229" spans="1:12" ht="36" customHeight="1">
      <c r="A229" s="69"/>
      <c r="B229" s="658"/>
      <c r="C229" s="70"/>
      <c r="D229" s="233" t="s">
        <v>2316</v>
      </c>
      <c r="E229" s="399">
        <f>'Тарифные ставки'!$B$5</f>
        <v>137.4825</v>
      </c>
      <c r="F229" s="399">
        <v>4.67</v>
      </c>
      <c r="G229" s="399">
        <f t="shared" si="13"/>
        <v>642.0432749999999</v>
      </c>
      <c r="H229" s="399"/>
      <c r="I229" s="399"/>
      <c r="J229" s="399"/>
      <c r="K229" s="479"/>
      <c r="L229" s="490"/>
    </row>
    <row r="230" spans="1:12" ht="31.5">
      <c r="A230" s="71" t="s">
        <v>1075</v>
      </c>
      <c r="B230" s="79" t="s">
        <v>2365</v>
      </c>
      <c r="C230" s="244" t="s">
        <v>1812</v>
      </c>
      <c r="D230" s="228" t="s">
        <v>2316</v>
      </c>
      <c r="E230" s="400">
        <f>'Тарифные ставки'!$B$5</f>
        <v>137.4825</v>
      </c>
      <c r="F230" s="474">
        <v>4.32</v>
      </c>
      <c r="G230" s="400">
        <f t="shared" si="13"/>
        <v>593.9244</v>
      </c>
      <c r="H230" s="400">
        <f>G230*'Тарифные ставки'!$B$13</f>
        <v>1532.324952</v>
      </c>
      <c r="I230" s="400">
        <f>H230*'Тарифные ставки'!$B$14*'Тарифные ставки'!$B$15</f>
        <v>1857.1778418239999</v>
      </c>
      <c r="J230" s="400">
        <f>I230-I230/'Тарифные ставки'!$B$15</f>
        <v>309.52964030399994</v>
      </c>
      <c r="K230" s="478">
        <v>1553.5989216000003</v>
      </c>
      <c r="L230" s="450">
        <f t="shared" si="12"/>
        <v>19.54036630711316</v>
      </c>
    </row>
    <row r="231" spans="1:12" ht="15.75">
      <c r="A231" s="67"/>
      <c r="B231" s="14" t="s">
        <v>1076</v>
      </c>
      <c r="C231" s="236"/>
      <c r="D231" s="237" t="s">
        <v>2316</v>
      </c>
      <c r="E231" s="396">
        <f>'Тарифные ставки'!$B$5</f>
        <v>137.4825</v>
      </c>
      <c r="F231" s="475">
        <v>5.18</v>
      </c>
      <c r="G231" s="396">
        <f t="shared" si="13"/>
        <v>712.1593499999999</v>
      </c>
      <c r="H231" s="396">
        <f>G231*'Тарифные ставки'!$B$13</f>
        <v>1837.371123</v>
      </c>
      <c r="I231" s="396">
        <f>H231*'Тарифные ставки'!$B$14*'Тарифные ставки'!$B$15</f>
        <v>2226.893801076</v>
      </c>
      <c r="J231" s="396">
        <f>I231-I231/'Тарифные ставки'!$B$15</f>
        <v>371.1489668459999</v>
      </c>
      <c r="K231" s="481">
        <v>1862.8801884</v>
      </c>
      <c r="L231" s="457">
        <f t="shared" si="12"/>
        <v>19.540366307113175</v>
      </c>
    </row>
    <row r="232" spans="1:12" ht="15.75">
      <c r="A232" s="69"/>
      <c r="B232" s="26" t="s">
        <v>643</v>
      </c>
      <c r="C232" s="245"/>
      <c r="D232" s="233" t="s">
        <v>2316</v>
      </c>
      <c r="E232" s="399">
        <f>'Тарифные ставки'!$B$5</f>
        <v>137.4825</v>
      </c>
      <c r="F232" s="466">
        <v>6.5</v>
      </c>
      <c r="G232" s="399">
        <f t="shared" si="13"/>
        <v>893.6362499999999</v>
      </c>
      <c r="H232" s="399">
        <f>G232*'Тарифные ставки'!$B$13</f>
        <v>2305.5815249999996</v>
      </c>
      <c r="I232" s="399">
        <f>H232*'Тарифные ставки'!$B$14*'Тарифные ставки'!$B$15</f>
        <v>2794.3648082999994</v>
      </c>
      <c r="J232" s="399">
        <f>I232-I232/'Тарифные ставки'!$B$15</f>
        <v>465.72746804999997</v>
      </c>
      <c r="K232" s="479">
        <v>2337.5909699999997</v>
      </c>
      <c r="L232" s="490">
        <f t="shared" si="12"/>
        <v>19.54036630711316</v>
      </c>
    </row>
    <row r="233" spans="1:12" ht="17.25" customHeight="1">
      <c r="A233" s="71" t="s">
        <v>1077</v>
      </c>
      <c r="B233" s="79" t="s">
        <v>130</v>
      </c>
      <c r="C233" s="72" t="s">
        <v>1812</v>
      </c>
      <c r="D233" s="206" t="s">
        <v>2308</v>
      </c>
      <c r="E233" s="400">
        <f>'Тарифные ставки'!$B$5</f>
        <v>137.4825</v>
      </c>
      <c r="F233" s="400">
        <v>0.14</v>
      </c>
      <c r="G233" s="400">
        <f t="shared" si="13"/>
        <v>19.24755</v>
      </c>
      <c r="H233" s="400">
        <f>G233*'Тарифные ставки'!$B$13</f>
        <v>49.658679</v>
      </c>
      <c r="I233" s="400">
        <f>H233*'Тарифные ставки'!$B$14*'Тарифные ставки'!$B$15</f>
        <v>60.186318948</v>
      </c>
      <c r="J233" s="400">
        <f>I233-I233/'Тарифные ставки'!$B$15</f>
        <v>10.031053157999999</v>
      </c>
      <c r="K233" s="478">
        <v>50.348113200000014</v>
      </c>
      <c r="L233" s="450">
        <f t="shared" si="12"/>
        <v>19.540366307113132</v>
      </c>
    </row>
    <row r="234" spans="1:12" ht="15.75">
      <c r="A234" s="69"/>
      <c r="B234" s="26" t="s">
        <v>131</v>
      </c>
      <c r="C234" s="70"/>
      <c r="D234" s="247" t="s">
        <v>2308</v>
      </c>
      <c r="E234" s="399">
        <f>'Тарифные ставки'!$B$5</f>
        <v>137.4825</v>
      </c>
      <c r="F234" s="399">
        <v>0.29</v>
      </c>
      <c r="G234" s="399">
        <f t="shared" si="13"/>
        <v>39.869924999999995</v>
      </c>
      <c r="H234" s="399">
        <f>G234*'Тарифные ставки'!$B$13</f>
        <v>102.86440649999999</v>
      </c>
      <c r="I234" s="399">
        <f>H234*'Тарифные ставки'!$B$14*'Тарифные ставки'!$B$15</f>
        <v>124.67166067799997</v>
      </c>
      <c r="J234" s="399">
        <f>I234-I234/'Тарифные ставки'!$B$15</f>
        <v>20.778610112999985</v>
      </c>
      <c r="K234" s="479">
        <v>104.29252020000001</v>
      </c>
      <c r="L234" s="490">
        <f t="shared" si="12"/>
        <v>19.540366307113132</v>
      </c>
    </row>
    <row r="235" spans="1:12" ht="15.75" hidden="1">
      <c r="A235" s="67"/>
      <c r="B235" s="14" t="s">
        <v>132</v>
      </c>
      <c r="C235" s="16"/>
      <c r="D235" s="203" t="s">
        <v>2308</v>
      </c>
      <c r="E235" s="396">
        <v>78.97</v>
      </c>
      <c r="F235" s="396">
        <v>0.43</v>
      </c>
      <c r="G235" s="396">
        <f t="shared" si="13"/>
        <v>33.9571</v>
      </c>
      <c r="H235" s="396">
        <f>G235*'Тарифные ставки'!$B$13</f>
        <v>87.60931799999999</v>
      </c>
      <c r="I235" s="396">
        <f>H235*1.1*1.18</f>
        <v>113.71689476399999</v>
      </c>
      <c r="J235" s="396">
        <f>I235-I235/'Тарифные ставки'!$B$15</f>
        <v>18.95281579399999</v>
      </c>
      <c r="K235" s="465">
        <v>152.06328951</v>
      </c>
      <c r="L235" s="457">
        <f t="shared" si="12"/>
        <v>-25.217391304347842</v>
      </c>
    </row>
    <row r="236" spans="1:12" ht="15.75" hidden="1">
      <c r="A236" s="67"/>
      <c r="B236" s="14" t="s">
        <v>1302</v>
      </c>
      <c r="C236" s="16"/>
      <c r="D236" s="203" t="s">
        <v>2308</v>
      </c>
      <c r="E236" s="396">
        <v>78.97</v>
      </c>
      <c r="F236" s="396">
        <v>0.65</v>
      </c>
      <c r="G236" s="396">
        <f t="shared" si="13"/>
        <v>51.3305</v>
      </c>
      <c r="H236" s="396">
        <f>G236*'Тарифные ставки'!$B$13</f>
        <v>132.43269</v>
      </c>
      <c r="I236" s="396">
        <f>H236*1.1*1.18</f>
        <v>171.89763162000003</v>
      </c>
      <c r="J236" s="396">
        <f>I236-I236/'Тарифные ставки'!$B$15</f>
        <v>28.649605269999995</v>
      </c>
      <c r="K236" s="465">
        <v>229.86311204999998</v>
      </c>
      <c r="L236" s="457">
        <f t="shared" si="12"/>
        <v>-25.217391304347814</v>
      </c>
    </row>
    <row r="237" spans="1:12" ht="31.5">
      <c r="A237" s="73" t="s">
        <v>133</v>
      </c>
      <c r="B237" s="77" t="s">
        <v>134</v>
      </c>
      <c r="C237" s="87" t="s">
        <v>1901</v>
      </c>
      <c r="D237" s="204" t="s">
        <v>2308</v>
      </c>
      <c r="E237" s="398">
        <f>'Тарифные ставки'!$B$5</f>
        <v>137.4825</v>
      </c>
      <c r="F237" s="398">
        <v>1.44</v>
      </c>
      <c r="G237" s="398">
        <f t="shared" si="13"/>
        <v>197.9748</v>
      </c>
      <c r="H237" s="398">
        <f>G237*'Тарифные ставки'!$B$13</f>
        <v>510.77498399999996</v>
      </c>
      <c r="I237" s="398">
        <f>H237*'Тарифные ставки'!$B$14*'Тарифные ставки'!$B$15</f>
        <v>619.059280608</v>
      </c>
      <c r="J237" s="398">
        <f>I237-I237/'Тарифные ставки'!$B$15</f>
        <v>103.17654676799998</v>
      </c>
      <c r="K237" s="480">
        <v>517.8663071999999</v>
      </c>
      <c r="L237" s="491">
        <f t="shared" si="12"/>
        <v>19.540366307113175</v>
      </c>
    </row>
    <row r="238" spans="1:12" ht="15.75">
      <c r="A238" s="71" t="s">
        <v>135</v>
      </c>
      <c r="B238" s="81" t="s">
        <v>136</v>
      </c>
      <c r="C238" s="486" t="s">
        <v>1901</v>
      </c>
      <c r="D238" s="228" t="s">
        <v>846</v>
      </c>
      <c r="E238" s="400">
        <f>'Тарифные ставки'!$B$4</f>
        <v>148.166</v>
      </c>
      <c r="F238" s="400">
        <v>0.64</v>
      </c>
      <c r="G238" s="400">
        <f t="shared" si="13"/>
        <v>94.82624</v>
      </c>
      <c r="H238" s="400">
        <f>(G238+G239)*'Тарифные ставки'!$B$13</f>
        <v>741.2384892</v>
      </c>
      <c r="I238" s="400">
        <f>H238*'Тарифные ставки'!$B$14*'Тарифные ставки'!$B$15</f>
        <v>898.3810489104</v>
      </c>
      <c r="J238" s="400">
        <f>I238-I238/'Тарифные ставки'!$B$15</f>
        <v>149.73017481839997</v>
      </c>
      <c r="K238" s="478">
        <v>751.2770232</v>
      </c>
      <c r="L238" s="450">
        <f t="shared" si="12"/>
        <v>19.580530372647758</v>
      </c>
    </row>
    <row r="239" spans="1:12" ht="15.75">
      <c r="A239" s="69"/>
      <c r="B239" s="30"/>
      <c r="C239" s="70"/>
      <c r="D239" s="233" t="s">
        <v>2308</v>
      </c>
      <c r="E239" s="399">
        <f>'Тарифные ставки'!$B$5</f>
        <v>137.4825</v>
      </c>
      <c r="F239" s="399">
        <v>1.4</v>
      </c>
      <c r="G239" s="399">
        <f t="shared" si="13"/>
        <v>192.47549999999998</v>
      </c>
      <c r="H239" s="399"/>
      <c r="I239" s="399"/>
      <c r="J239" s="399"/>
      <c r="K239" s="479"/>
      <c r="L239" s="490"/>
    </row>
    <row r="240" spans="1:12" ht="15.75">
      <c r="A240" s="73" t="s">
        <v>137</v>
      </c>
      <c r="B240" s="77" t="s">
        <v>138</v>
      </c>
      <c r="C240" s="75" t="s">
        <v>1901</v>
      </c>
      <c r="D240" s="204" t="s">
        <v>2308</v>
      </c>
      <c r="E240" s="398">
        <f>'Тарифные ставки'!$B$5</f>
        <v>137.4825</v>
      </c>
      <c r="F240" s="398">
        <v>1.5</v>
      </c>
      <c r="G240" s="398">
        <f t="shared" si="13"/>
        <v>206.22375</v>
      </c>
      <c r="H240" s="398">
        <f>G240*'Тарифные ставки'!$B$13</f>
        <v>532.057275</v>
      </c>
      <c r="I240" s="398">
        <f>H240*'Тарифные ставки'!$B$14*'Тарифные ставки'!$B$15</f>
        <v>644.8534172999999</v>
      </c>
      <c r="J240" s="398">
        <f>I240-I240/'Тарифные ставки'!$B$15</f>
        <v>107.47556954999993</v>
      </c>
      <c r="K240" s="480">
        <v>539.44407</v>
      </c>
      <c r="L240" s="491">
        <f t="shared" si="12"/>
        <v>19.54036630711316</v>
      </c>
    </row>
    <row r="241" spans="1:12" ht="15.75">
      <c r="A241" s="73" t="s">
        <v>139</v>
      </c>
      <c r="B241" s="77" t="s">
        <v>140</v>
      </c>
      <c r="C241" s="172" t="s">
        <v>251</v>
      </c>
      <c r="D241" s="204" t="s">
        <v>2308</v>
      </c>
      <c r="E241" s="398">
        <f>'Тарифные ставки'!$B$5</f>
        <v>137.4825</v>
      </c>
      <c r="F241" s="398">
        <v>0.3</v>
      </c>
      <c r="G241" s="398">
        <f t="shared" si="13"/>
        <v>41.244749999999996</v>
      </c>
      <c r="H241" s="398">
        <f>G241*'Тарифные ставки'!$B$13</f>
        <v>106.41145499999999</v>
      </c>
      <c r="I241" s="398">
        <f>H241*'Тарифные ставки'!$B$14*'Тарифные ставки'!$B$15</f>
        <v>128.97068345999998</v>
      </c>
      <c r="J241" s="398">
        <f>I241-I241/'Тарифные ставки'!$B$15</f>
        <v>21.495113909999986</v>
      </c>
      <c r="K241" s="480">
        <v>107.88881400000002</v>
      </c>
      <c r="L241" s="491">
        <f t="shared" si="12"/>
        <v>19.540366307113132</v>
      </c>
    </row>
    <row r="242" spans="1:12" ht="15.75">
      <c r="A242" s="71" t="s">
        <v>141</v>
      </c>
      <c r="B242" s="656" t="s">
        <v>2459</v>
      </c>
      <c r="C242" s="72" t="s">
        <v>142</v>
      </c>
      <c r="D242" s="206" t="s">
        <v>2308</v>
      </c>
      <c r="E242" s="400">
        <f>'Тарифные ставки'!$B$5</f>
        <v>137.4825</v>
      </c>
      <c r="F242" s="400">
        <v>0.5</v>
      </c>
      <c r="G242" s="400">
        <f t="shared" si="13"/>
        <v>68.74125</v>
      </c>
      <c r="H242" s="400">
        <f>(G242+G243)*'Тарифные ставки'!$B$13</f>
        <v>354.70484999999996</v>
      </c>
      <c r="I242" s="400">
        <f>H242*'Тарифные ставки'!$B$14*'Тарифные ставки'!$B$15</f>
        <v>429.90227819999996</v>
      </c>
      <c r="J242" s="400">
        <f>I242-I242/'Тарифные ставки'!$B$15</f>
        <v>71.65037969999997</v>
      </c>
      <c r="K242" s="478">
        <v>359.62938</v>
      </c>
      <c r="L242" s="450">
        <f t="shared" si="12"/>
        <v>19.54036630711316</v>
      </c>
    </row>
    <row r="243" spans="1:12" ht="15.75">
      <c r="A243" s="69"/>
      <c r="B243" s="658"/>
      <c r="C243" s="70"/>
      <c r="D243" s="247" t="s">
        <v>2308</v>
      </c>
      <c r="E243" s="399">
        <f>'Тарифные ставки'!$B$5</f>
        <v>137.4825</v>
      </c>
      <c r="F243" s="399">
        <v>0.5</v>
      </c>
      <c r="G243" s="399">
        <f t="shared" si="13"/>
        <v>68.74125</v>
      </c>
      <c r="H243" s="399"/>
      <c r="I243" s="399"/>
      <c r="J243" s="399"/>
      <c r="K243" s="479"/>
      <c r="L243" s="490"/>
    </row>
    <row r="244" spans="1:12" ht="31.5">
      <c r="A244" s="73" t="s">
        <v>143</v>
      </c>
      <c r="B244" s="77" t="s">
        <v>2460</v>
      </c>
      <c r="C244" s="75" t="s">
        <v>144</v>
      </c>
      <c r="D244" s="204" t="s">
        <v>2308</v>
      </c>
      <c r="E244" s="398">
        <f>'Тарифные ставки'!$B$5</f>
        <v>137.4825</v>
      </c>
      <c r="F244" s="398">
        <v>0.36</v>
      </c>
      <c r="G244" s="398">
        <f t="shared" si="13"/>
        <v>49.4937</v>
      </c>
      <c r="H244" s="398">
        <f>G244*'Тарифные ставки'!$B$13</f>
        <v>127.69374599999999</v>
      </c>
      <c r="I244" s="398">
        <f>H244*'Тарифные ставки'!$B$14*'Тарифные ставки'!$B$15</f>
        <v>154.764820152</v>
      </c>
      <c r="J244" s="398">
        <f>I244-I244/'Тарифные ставки'!$B$15</f>
        <v>25.794136691999995</v>
      </c>
      <c r="K244" s="480">
        <v>129.46657679999998</v>
      </c>
      <c r="L244" s="491">
        <f t="shared" si="12"/>
        <v>19.540366307113175</v>
      </c>
    </row>
    <row r="245" spans="1:12" ht="31.5">
      <c r="A245" s="73" t="s">
        <v>145</v>
      </c>
      <c r="B245" s="77" t="s">
        <v>146</v>
      </c>
      <c r="C245" s="78" t="s">
        <v>144</v>
      </c>
      <c r="D245" s="204" t="s">
        <v>2308</v>
      </c>
      <c r="E245" s="398">
        <f>'Тарифные ставки'!$B$5</f>
        <v>137.4825</v>
      </c>
      <c r="F245" s="496">
        <v>0.36</v>
      </c>
      <c r="G245" s="398">
        <f t="shared" si="13"/>
        <v>49.4937</v>
      </c>
      <c r="H245" s="398">
        <f>G245*'Тарифные ставки'!$B$13</f>
        <v>127.69374599999999</v>
      </c>
      <c r="I245" s="398">
        <f>H245*'Тарифные ставки'!$B$14*'Тарифные ставки'!$B$15</f>
        <v>154.764820152</v>
      </c>
      <c r="J245" s="398">
        <f>I245-I245/'Тарифные ставки'!$B$15</f>
        <v>25.794136691999995</v>
      </c>
      <c r="K245" s="480">
        <v>129.46657679999998</v>
      </c>
      <c r="L245" s="491">
        <f t="shared" si="12"/>
        <v>19.540366307113175</v>
      </c>
    </row>
    <row r="246" spans="1:12" ht="47.25">
      <c r="A246" s="71" t="s">
        <v>147</v>
      </c>
      <c r="B246" s="81" t="s">
        <v>148</v>
      </c>
      <c r="C246" s="487" t="s">
        <v>182</v>
      </c>
      <c r="D246" s="206" t="s">
        <v>2308</v>
      </c>
      <c r="E246" s="400">
        <f>'Тарифные ставки'!$B$5</f>
        <v>137.4825</v>
      </c>
      <c r="F246" s="474">
        <v>1.44</v>
      </c>
      <c r="G246" s="400">
        <f t="shared" si="13"/>
        <v>197.9748</v>
      </c>
      <c r="H246" s="400">
        <f>G246*'Тарифные ставки'!$B$13</f>
        <v>510.77498399999996</v>
      </c>
      <c r="I246" s="400">
        <f>H246*'Тарифные ставки'!$B$14*'Тарифные ставки'!$B$15</f>
        <v>619.059280608</v>
      </c>
      <c r="J246" s="400">
        <f>I246-I246/'Тарифные ставки'!$B$15</f>
        <v>103.17654676799998</v>
      </c>
      <c r="K246" s="478">
        <v>517.8663071999999</v>
      </c>
      <c r="L246" s="450">
        <f t="shared" si="12"/>
        <v>19.540366307113175</v>
      </c>
    </row>
    <row r="247" spans="1:12" ht="15.75">
      <c r="A247" s="67"/>
      <c r="B247" s="654" t="s">
        <v>569</v>
      </c>
      <c r="C247" s="241"/>
      <c r="D247" s="203" t="s">
        <v>2308</v>
      </c>
      <c r="E247" s="396">
        <f>'Тарифные ставки'!$B$5</f>
        <v>137.4825</v>
      </c>
      <c r="F247" s="475">
        <v>1.44</v>
      </c>
      <c r="G247" s="396">
        <f t="shared" si="13"/>
        <v>197.9748</v>
      </c>
      <c r="H247" s="396">
        <f>(G247+G248)*'Тарифные ставки'!$B$13</f>
        <v>1021.5499679999999</v>
      </c>
      <c r="I247" s="396">
        <f>H247*'Тарифные ставки'!$B$14*'Тарифные ставки'!$B$15</f>
        <v>1238.118561216</v>
      </c>
      <c r="J247" s="396">
        <f>I247-I247/'Тарифные ставки'!$B$15</f>
        <v>206.35309353599996</v>
      </c>
      <c r="K247" s="481">
        <v>1035.7326143999999</v>
      </c>
      <c r="L247" s="457">
        <f t="shared" si="12"/>
        <v>19.540366307113175</v>
      </c>
    </row>
    <row r="248" spans="1:12" ht="15.75" hidden="1">
      <c r="A248" s="69"/>
      <c r="B248" s="655"/>
      <c r="C248" s="245"/>
      <c r="D248" s="247" t="s">
        <v>2308</v>
      </c>
      <c r="E248" s="399">
        <f>'Тарифные ставки'!$B$5</f>
        <v>137.4825</v>
      </c>
      <c r="F248" s="466">
        <v>1.44</v>
      </c>
      <c r="G248" s="399">
        <f t="shared" si="13"/>
        <v>197.9748</v>
      </c>
      <c r="H248" s="399"/>
      <c r="I248" s="399"/>
      <c r="J248" s="399"/>
      <c r="K248" s="479"/>
      <c r="L248" s="490"/>
    </row>
    <row r="249" spans="1:12" ht="15.75">
      <c r="A249" s="71" t="s">
        <v>149</v>
      </c>
      <c r="B249" s="656" t="s">
        <v>150</v>
      </c>
      <c r="C249" s="72"/>
      <c r="D249" s="206" t="s">
        <v>2308</v>
      </c>
      <c r="E249" s="400">
        <f>'Тарифные ставки'!$B$5</f>
        <v>137.4825</v>
      </c>
      <c r="F249" s="400">
        <v>1.44</v>
      </c>
      <c r="G249" s="400">
        <f t="shared" si="13"/>
        <v>197.9748</v>
      </c>
      <c r="H249" s="400">
        <f>(G249+G250)*'Тарифные ставки'!$B$13</f>
        <v>1021.5499679999999</v>
      </c>
      <c r="I249" s="400">
        <f>H249*'Тарифные ставки'!$B$14*'Тарифные ставки'!$B$15</f>
        <v>1238.118561216</v>
      </c>
      <c r="J249" s="400">
        <f>I249-I249/'Тарифные ставки'!$B$15</f>
        <v>206.35309353599996</v>
      </c>
      <c r="K249" s="478">
        <v>1035.7326143999999</v>
      </c>
      <c r="L249" s="450">
        <f t="shared" si="12"/>
        <v>19.540366307113175</v>
      </c>
    </row>
    <row r="250" spans="1:12" ht="15.75">
      <c r="A250" s="67"/>
      <c r="B250" s="657"/>
      <c r="C250" s="68"/>
      <c r="D250" s="203" t="s">
        <v>2308</v>
      </c>
      <c r="E250" s="396">
        <f>'Тарифные ставки'!$B$5</f>
        <v>137.4825</v>
      </c>
      <c r="F250" s="396">
        <v>1.44</v>
      </c>
      <c r="G250" s="396">
        <f t="shared" si="13"/>
        <v>197.9748</v>
      </c>
      <c r="H250" s="396"/>
      <c r="I250" s="396"/>
      <c r="J250" s="396"/>
      <c r="K250" s="481"/>
      <c r="L250" s="457"/>
    </row>
    <row r="251" spans="1:12" ht="15.75">
      <c r="A251" s="69"/>
      <c r="B251" s="26" t="s">
        <v>151</v>
      </c>
      <c r="C251" s="70"/>
      <c r="D251" s="247" t="s">
        <v>2308</v>
      </c>
      <c r="E251" s="399">
        <f>'Тарифные ставки'!$B$5</f>
        <v>137.4825</v>
      </c>
      <c r="F251" s="399">
        <v>4.32</v>
      </c>
      <c r="G251" s="399">
        <f t="shared" si="13"/>
        <v>593.9244</v>
      </c>
      <c r="H251" s="399">
        <f>G251*'Тарифные ставки'!$B$13</f>
        <v>1532.324952</v>
      </c>
      <c r="I251" s="399">
        <f>H251*'Тарифные ставки'!$B$14*'Тарифные ставки'!$B$15</f>
        <v>1857.1778418239999</v>
      </c>
      <c r="J251" s="399">
        <f>I251-I251/'Тарифные ставки'!$B$15</f>
        <v>309.52964030399994</v>
      </c>
      <c r="K251" s="479">
        <v>1553.5989216000003</v>
      </c>
      <c r="L251" s="490">
        <f t="shared" si="12"/>
        <v>19.54036630711316</v>
      </c>
    </row>
    <row r="252" spans="1:12" ht="15.75">
      <c r="A252" s="71" t="s">
        <v>152</v>
      </c>
      <c r="B252" s="656" t="s">
        <v>153</v>
      </c>
      <c r="C252" s="488" t="s">
        <v>154</v>
      </c>
      <c r="D252" s="206" t="s">
        <v>2308</v>
      </c>
      <c r="E252" s="400">
        <f>'Тарифные ставки'!$B$5</f>
        <v>137.4825</v>
      </c>
      <c r="F252" s="400">
        <v>0.25</v>
      </c>
      <c r="G252" s="400">
        <f t="shared" si="13"/>
        <v>34.370625</v>
      </c>
      <c r="H252" s="400">
        <f>(G252+G253)*'Тарифные ставки'!$B$13</f>
        <v>177.35242499999998</v>
      </c>
      <c r="I252" s="400">
        <f>H252*'Тарифные ставки'!$B$14*'Тарифные ставки'!$B$15</f>
        <v>214.95113909999998</v>
      </c>
      <c r="J252" s="400">
        <f>I252-I252/'Тарифные ставки'!$B$15</f>
        <v>35.82518984999999</v>
      </c>
      <c r="K252" s="478">
        <v>179.81469</v>
      </c>
      <c r="L252" s="450">
        <f t="shared" si="12"/>
        <v>19.54036630711316</v>
      </c>
    </row>
    <row r="253" spans="1:12" ht="15.75">
      <c r="A253" s="69"/>
      <c r="B253" s="658"/>
      <c r="C253" s="196"/>
      <c r="D253" s="247" t="s">
        <v>2308</v>
      </c>
      <c r="E253" s="399">
        <f>'Тарифные ставки'!$B$5</f>
        <v>137.4825</v>
      </c>
      <c r="F253" s="399">
        <v>0.25</v>
      </c>
      <c r="G253" s="399">
        <f t="shared" si="13"/>
        <v>34.370625</v>
      </c>
      <c r="H253" s="399"/>
      <c r="I253" s="399"/>
      <c r="J253" s="399"/>
      <c r="K253" s="479"/>
      <c r="L253" s="490"/>
    </row>
    <row r="254" spans="1:12" ht="15.75" hidden="1">
      <c r="A254" s="67" t="s">
        <v>155</v>
      </c>
      <c r="B254" s="85" t="s">
        <v>156</v>
      </c>
      <c r="C254" s="249" t="s">
        <v>154</v>
      </c>
      <c r="D254" s="203" t="s">
        <v>2308</v>
      </c>
      <c r="E254" s="396">
        <v>78.97</v>
      </c>
      <c r="F254" s="396">
        <v>1.5</v>
      </c>
      <c r="G254" s="396">
        <f t="shared" si="13"/>
        <v>118.455</v>
      </c>
      <c r="H254" s="396">
        <f>G254*'Тарифные ставки'!$B$13</f>
        <v>305.6139</v>
      </c>
      <c r="I254" s="396"/>
      <c r="J254" s="396"/>
      <c r="K254" s="465"/>
      <c r="L254" s="457" t="e">
        <f t="shared" si="12"/>
        <v>#DIV/0!</v>
      </c>
    </row>
    <row r="255" spans="1:12" ht="15.75">
      <c r="A255" s="73" t="s">
        <v>157</v>
      </c>
      <c r="B255" s="77" t="s">
        <v>158</v>
      </c>
      <c r="C255" s="250" t="s">
        <v>1356</v>
      </c>
      <c r="D255" s="204" t="s">
        <v>2308</v>
      </c>
      <c r="E255" s="398">
        <f>'Тарифные ставки'!$B$5</f>
        <v>137.4825</v>
      </c>
      <c r="F255" s="398">
        <v>0.3</v>
      </c>
      <c r="G255" s="398">
        <f t="shared" si="13"/>
        <v>41.244749999999996</v>
      </c>
      <c r="H255" s="398">
        <f>G255*'Тарифные ставки'!$B$13</f>
        <v>106.41145499999999</v>
      </c>
      <c r="I255" s="398">
        <f>H255*'Тарифные ставки'!$B$14*'Тарифные ставки'!$B$15</f>
        <v>128.97068345999998</v>
      </c>
      <c r="J255" s="398">
        <f>I255-I255/'Тарифные ставки'!$B$15</f>
        <v>21.495113909999986</v>
      </c>
      <c r="K255" s="480">
        <v>107.88881400000002</v>
      </c>
      <c r="L255" s="491">
        <f t="shared" si="12"/>
        <v>19.540366307113132</v>
      </c>
    </row>
    <row r="256" spans="1:12" ht="31.5">
      <c r="A256" s="73" t="s">
        <v>159</v>
      </c>
      <c r="B256" s="77" t="s">
        <v>1272</v>
      </c>
      <c r="C256" s="87" t="s">
        <v>174</v>
      </c>
      <c r="D256" s="204" t="s">
        <v>2308</v>
      </c>
      <c r="E256" s="398">
        <f>'Тарифные ставки'!$B$5</f>
        <v>137.4825</v>
      </c>
      <c r="F256" s="398">
        <v>0.25</v>
      </c>
      <c r="G256" s="398">
        <f t="shared" si="13"/>
        <v>34.370625</v>
      </c>
      <c r="H256" s="398">
        <f>G256*'Тарифные ставки'!$B$13</f>
        <v>88.67621249999999</v>
      </c>
      <c r="I256" s="398">
        <f>H256*'Тарифные ставки'!$B$14*'Тарифные ставки'!$B$15</f>
        <v>107.47556954999999</v>
      </c>
      <c r="J256" s="398">
        <f>I256-I256/'Тарифные ставки'!$B$15</f>
        <v>17.912594924999993</v>
      </c>
      <c r="K256" s="480">
        <v>89.907345</v>
      </c>
      <c r="L256" s="491">
        <f t="shared" si="12"/>
        <v>19.54036630711316</v>
      </c>
    </row>
    <row r="257" spans="1:12" ht="31.5">
      <c r="A257" s="73" t="s">
        <v>1273</v>
      </c>
      <c r="B257" s="77" t="s">
        <v>2509</v>
      </c>
      <c r="C257" s="87" t="s">
        <v>1816</v>
      </c>
      <c r="D257" s="204" t="s">
        <v>2308</v>
      </c>
      <c r="E257" s="398">
        <f>'Тарифные ставки'!$B$5</f>
        <v>137.4825</v>
      </c>
      <c r="F257" s="398">
        <v>1</v>
      </c>
      <c r="G257" s="398">
        <f t="shared" si="13"/>
        <v>137.4825</v>
      </c>
      <c r="H257" s="398">
        <f>G257*'Тарифные ставки'!$B$13</f>
        <v>354.70484999999996</v>
      </c>
      <c r="I257" s="398">
        <f>H257*'Тарифные ставки'!$B$14*'Тарифные ставки'!$B$15</f>
        <v>429.90227819999996</v>
      </c>
      <c r="J257" s="398">
        <f>I257-I257/'Тарифные ставки'!$B$15</f>
        <v>71.65037969999997</v>
      </c>
      <c r="K257" s="480">
        <v>359.62938</v>
      </c>
      <c r="L257" s="491">
        <f t="shared" si="12"/>
        <v>19.54036630711316</v>
      </c>
    </row>
    <row r="258" spans="1:12" ht="31.5">
      <c r="A258" s="73" t="s">
        <v>1274</v>
      </c>
      <c r="B258" s="77" t="s">
        <v>1275</v>
      </c>
      <c r="C258" s="87" t="s">
        <v>1816</v>
      </c>
      <c r="D258" s="204" t="s">
        <v>2308</v>
      </c>
      <c r="E258" s="398">
        <f>'Тарифные ставки'!$B$5</f>
        <v>137.4825</v>
      </c>
      <c r="F258" s="398">
        <v>2</v>
      </c>
      <c r="G258" s="398">
        <f t="shared" si="13"/>
        <v>274.965</v>
      </c>
      <c r="H258" s="398">
        <f>G258*'Тарифные ставки'!$B$13</f>
        <v>709.4096999999999</v>
      </c>
      <c r="I258" s="398">
        <f>H258*'Тарифные ставки'!$B$14*'Тарифные ставки'!$B$15</f>
        <v>859.8045563999999</v>
      </c>
      <c r="J258" s="398">
        <f>I258-I258/'Тарифные ставки'!$B$15</f>
        <v>143.30075939999995</v>
      </c>
      <c r="K258" s="480">
        <v>719.25876</v>
      </c>
      <c r="L258" s="491">
        <f t="shared" si="12"/>
        <v>19.54036630711316</v>
      </c>
    </row>
    <row r="259" spans="1:12" ht="31.5">
      <c r="A259" s="73" t="s">
        <v>1276</v>
      </c>
      <c r="B259" s="77" t="s">
        <v>2461</v>
      </c>
      <c r="C259" s="87" t="s">
        <v>1816</v>
      </c>
      <c r="D259" s="204" t="s">
        <v>2308</v>
      </c>
      <c r="E259" s="398">
        <f>'Тарифные ставки'!$B$5</f>
        <v>137.4825</v>
      </c>
      <c r="F259" s="398">
        <v>4</v>
      </c>
      <c r="G259" s="398">
        <f t="shared" si="13"/>
        <v>549.93</v>
      </c>
      <c r="H259" s="398">
        <f>G259*'Тарифные ставки'!$B$13</f>
        <v>1418.8193999999999</v>
      </c>
      <c r="I259" s="398">
        <f>H259*'Тарифные ставки'!$B$14*'Тарифные ставки'!$B$15</f>
        <v>1719.6091127999998</v>
      </c>
      <c r="J259" s="398">
        <f>I259-I259/'Тарифные ставки'!$B$15</f>
        <v>286.6015187999999</v>
      </c>
      <c r="K259" s="480">
        <v>1438.51752</v>
      </c>
      <c r="L259" s="491">
        <f>I259/K259*100-100</f>
        <v>19.54036630711316</v>
      </c>
    </row>
    <row r="261" spans="1:10" ht="15.75" hidden="1">
      <c r="A261" s="604" t="s">
        <v>1615</v>
      </c>
      <c r="B261" s="604"/>
      <c r="C261" s="604"/>
      <c r="D261" s="604"/>
      <c r="E261" s="604"/>
      <c r="F261" s="604"/>
      <c r="G261" s="604"/>
      <c r="H261" s="604"/>
      <c r="I261" s="604"/>
      <c r="J261" s="604">
        <f aca="true" t="shared" si="14" ref="J261:J280">H261*1.1*0.18</f>
        <v>0</v>
      </c>
    </row>
    <row r="262" ht="15.75" hidden="1"/>
    <row r="263" spans="1:10" ht="15.75" hidden="1">
      <c r="A263" s="24" t="s">
        <v>1616</v>
      </c>
      <c r="B263" s="631" t="s">
        <v>1617</v>
      </c>
      <c r="C263" s="24" t="s">
        <v>1618</v>
      </c>
      <c r="D263" s="228" t="s">
        <v>2315</v>
      </c>
      <c r="E263" s="406">
        <v>123.85</v>
      </c>
      <c r="F263" s="406">
        <v>4</v>
      </c>
      <c r="G263" s="406">
        <f aca="true" t="shared" si="15" ref="G263:G280">E263*F263</f>
        <v>495.4</v>
      </c>
      <c r="H263" s="406">
        <f>(G263+G264)*'Тарифные ставки'!$B$13</f>
        <v>6291.9492</v>
      </c>
      <c r="I263" s="406"/>
      <c r="J263" s="406">
        <f t="shared" si="14"/>
        <v>1245.8059416</v>
      </c>
    </row>
    <row r="264" spans="1:10" ht="15.75" hidden="1">
      <c r="A264" s="45"/>
      <c r="B264" s="632"/>
      <c r="C264" s="45"/>
      <c r="D264" s="248" t="s">
        <v>2305</v>
      </c>
      <c r="E264" s="403">
        <v>323.89</v>
      </c>
      <c r="F264" s="403">
        <v>6</v>
      </c>
      <c r="G264" s="403">
        <f t="shared" si="15"/>
        <v>1943.34</v>
      </c>
      <c r="H264" s="403"/>
      <c r="I264" s="403"/>
      <c r="J264" s="403">
        <f t="shared" si="14"/>
        <v>0</v>
      </c>
    </row>
    <row r="265" spans="1:10" ht="15.75" hidden="1">
      <c r="A265" s="60" t="s">
        <v>1619</v>
      </c>
      <c r="B265" s="61" t="s">
        <v>1620</v>
      </c>
      <c r="C265" s="60" t="s">
        <v>660</v>
      </c>
      <c r="D265" s="228" t="s">
        <v>2315</v>
      </c>
      <c r="E265" s="406">
        <v>123.85</v>
      </c>
      <c r="F265" s="383">
        <v>8</v>
      </c>
      <c r="G265" s="383">
        <f t="shared" si="15"/>
        <v>990.8</v>
      </c>
      <c r="H265" s="383">
        <f>G265*'Тарифные ставки'!$B$13</f>
        <v>2556.264</v>
      </c>
      <c r="I265" s="383"/>
      <c r="J265" s="383">
        <f t="shared" si="14"/>
        <v>506.14027200000004</v>
      </c>
    </row>
    <row r="266" spans="1:10" ht="15.75" hidden="1">
      <c r="A266" s="60" t="s">
        <v>1621</v>
      </c>
      <c r="B266" s="61" t="s">
        <v>1622</v>
      </c>
      <c r="C266" s="60" t="s">
        <v>660</v>
      </c>
      <c r="D266" s="228" t="s">
        <v>2315</v>
      </c>
      <c r="E266" s="406">
        <v>123.85</v>
      </c>
      <c r="F266" s="383">
        <v>2</v>
      </c>
      <c r="G266" s="383">
        <f t="shared" si="15"/>
        <v>247.7</v>
      </c>
      <c r="H266" s="383">
        <f>G266*'Тарифные ставки'!$B$13</f>
        <v>639.066</v>
      </c>
      <c r="I266" s="383"/>
      <c r="J266" s="383">
        <f t="shared" si="14"/>
        <v>126.53506800000001</v>
      </c>
    </row>
    <row r="267" spans="1:10" ht="31.5" hidden="1">
      <c r="A267" s="60" t="s">
        <v>1623</v>
      </c>
      <c r="B267" s="61" t="s">
        <v>1624</v>
      </c>
      <c r="C267" s="60" t="s">
        <v>660</v>
      </c>
      <c r="D267" s="228" t="s">
        <v>2315</v>
      </c>
      <c r="E267" s="406">
        <v>123.85</v>
      </c>
      <c r="F267" s="383">
        <v>8</v>
      </c>
      <c r="G267" s="383">
        <f t="shared" si="15"/>
        <v>990.8</v>
      </c>
      <c r="H267" s="383">
        <f>G267*'Тарифные ставки'!$B$13</f>
        <v>2556.264</v>
      </c>
      <c r="I267" s="383"/>
      <c r="J267" s="383">
        <f t="shared" si="14"/>
        <v>506.14027200000004</v>
      </c>
    </row>
    <row r="268" spans="1:10" ht="31.5" hidden="1">
      <c r="A268" s="60" t="s">
        <v>1625</v>
      </c>
      <c r="B268" s="61" t="s">
        <v>1626</v>
      </c>
      <c r="C268" s="60" t="s">
        <v>660</v>
      </c>
      <c r="D268" s="228" t="s">
        <v>2315</v>
      </c>
      <c r="E268" s="406">
        <v>123.85</v>
      </c>
      <c r="F268" s="383">
        <v>4</v>
      </c>
      <c r="G268" s="383">
        <f t="shared" si="15"/>
        <v>495.4</v>
      </c>
      <c r="H268" s="383">
        <f>G268*'Тарифные ставки'!$B$13</f>
        <v>1278.132</v>
      </c>
      <c r="I268" s="383"/>
      <c r="J268" s="383">
        <f t="shared" si="14"/>
        <v>253.07013600000002</v>
      </c>
    </row>
    <row r="269" spans="1:10" ht="31.5" hidden="1">
      <c r="A269" s="60" t="s">
        <v>1627</v>
      </c>
      <c r="B269" s="61" t="s">
        <v>2137</v>
      </c>
      <c r="C269" s="60" t="s">
        <v>660</v>
      </c>
      <c r="D269" s="228" t="s">
        <v>2315</v>
      </c>
      <c r="E269" s="406">
        <v>123.85</v>
      </c>
      <c r="F269" s="383">
        <v>2</v>
      </c>
      <c r="G269" s="383">
        <f t="shared" si="15"/>
        <v>247.7</v>
      </c>
      <c r="H269" s="383">
        <f>G269*'Тарифные ставки'!$B$13</f>
        <v>639.066</v>
      </c>
      <c r="I269" s="383"/>
      <c r="J269" s="383">
        <f t="shared" si="14"/>
        <v>126.53506800000001</v>
      </c>
    </row>
    <row r="270" spans="1:10" ht="15.75" hidden="1">
      <c r="A270" s="60" t="s">
        <v>1628</v>
      </c>
      <c r="B270" s="61" t="s">
        <v>1629</v>
      </c>
      <c r="C270" s="60" t="s">
        <v>660</v>
      </c>
      <c r="D270" s="228" t="s">
        <v>2315</v>
      </c>
      <c r="E270" s="406">
        <v>123.85</v>
      </c>
      <c r="F270" s="383">
        <v>2</v>
      </c>
      <c r="G270" s="383">
        <f t="shared" si="15"/>
        <v>247.7</v>
      </c>
      <c r="H270" s="383">
        <f>G270*'Тарифные ставки'!$B$13</f>
        <v>639.066</v>
      </c>
      <c r="I270" s="383"/>
      <c r="J270" s="383">
        <f t="shared" si="14"/>
        <v>126.53506800000001</v>
      </c>
    </row>
    <row r="271" spans="1:10" ht="31.5" hidden="1">
      <c r="A271" s="60" t="s">
        <v>1631</v>
      </c>
      <c r="B271" s="61" t="s">
        <v>1630</v>
      </c>
      <c r="C271" s="60" t="s">
        <v>660</v>
      </c>
      <c r="D271" s="228" t="s">
        <v>2315</v>
      </c>
      <c r="E271" s="406">
        <v>123.85</v>
      </c>
      <c r="F271" s="383">
        <v>4</v>
      </c>
      <c r="G271" s="383">
        <f t="shared" si="15"/>
        <v>495.4</v>
      </c>
      <c r="H271" s="383">
        <f>G271*'Тарифные ставки'!$B$13</f>
        <v>1278.132</v>
      </c>
      <c r="I271" s="383"/>
      <c r="J271" s="383">
        <f t="shared" si="14"/>
        <v>253.07013600000002</v>
      </c>
    </row>
    <row r="272" spans="1:10" ht="31.5" hidden="1">
      <c r="A272" s="60" t="s">
        <v>1633</v>
      </c>
      <c r="B272" s="61" t="s">
        <v>1632</v>
      </c>
      <c r="C272" s="60" t="s">
        <v>660</v>
      </c>
      <c r="D272" s="228" t="s">
        <v>2315</v>
      </c>
      <c r="E272" s="406">
        <v>123.85</v>
      </c>
      <c r="F272" s="383">
        <v>1</v>
      </c>
      <c r="G272" s="383">
        <f t="shared" si="15"/>
        <v>123.85</v>
      </c>
      <c r="H272" s="383">
        <f>G272*'Тарифные ставки'!$B$13</f>
        <v>319.533</v>
      </c>
      <c r="I272" s="383"/>
      <c r="J272" s="383">
        <f t="shared" si="14"/>
        <v>63.267534000000005</v>
      </c>
    </row>
    <row r="273" spans="1:10" ht="31.5" hidden="1">
      <c r="A273" s="60" t="s">
        <v>421</v>
      </c>
      <c r="B273" s="61" t="s">
        <v>420</v>
      </c>
      <c r="C273" s="60" t="s">
        <v>660</v>
      </c>
      <c r="D273" s="228" t="s">
        <v>2315</v>
      </c>
      <c r="E273" s="406">
        <v>123.85</v>
      </c>
      <c r="F273" s="383">
        <v>2</v>
      </c>
      <c r="G273" s="383">
        <f t="shared" si="15"/>
        <v>247.7</v>
      </c>
      <c r="H273" s="383">
        <f>G273*'Тарифные ставки'!$B$13</f>
        <v>639.066</v>
      </c>
      <c r="I273" s="383"/>
      <c r="J273" s="383">
        <f t="shared" si="14"/>
        <v>126.53506800000001</v>
      </c>
    </row>
    <row r="274" spans="1:10" ht="15.75" hidden="1">
      <c r="A274" s="60" t="s">
        <v>423</v>
      </c>
      <c r="B274" s="61" t="s">
        <v>422</v>
      </c>
      <c r="C274" s="60" t="s">
        <v>660</v>
      </c>
      <c r="D274" s="228" t="s">
        <v>2315</v>
      </c>
      <c r="E274" s="406">
        <v>123.85</v>
      </c>
      <c r="F274" s="383">
        <v>2</v>
      </c>
      <c r="G274" s="383">
        <f t="shared" si="15"/>
        <v>247.7</v>
      </c>
      <c r="H274" s="383">
        <f>G274*'Тарифные ставки'!$B$13</f>
        <v>639.066</v>
      </c>
      <c r="I274" s="383"/>
      <c r="J274" s="383">
        <f t="shared" si="14"/>
        <v>126.53506800000001</v>
      </c>
    </row>
    <row r="275" spans="1:10" ht="15.75" hidden="1">
      <c r="A275" s="107" t="s">
        <v>424</v>
      </c>
      <c r="B275" s="652" t="s">
        <v>584</v>
      </c>
      <c r="C275" s="24" t="s">
        <v>660</v>
      </c>
      <c r="D275" s="228" t="s">
        <v>2315</v>
      </c>
      <c r="E275" s="406">
        <v>123.85</v>
      </c>
      <c r="F275" s="406">
        <v>10</v>
      </c>
      <c r="G275" s="406">
        <f t="shared" si="15"/>
        <v>1238.5</v>
      </c>
      <c r="H275" s="406">
        <f>(G275+G276)*'Тарифные ставки'!$B$13</f>
        <v>11551.692</v>
      </c>
      <c r="I275" s="406"/>
      <c r="J275" s="406">
        <f t="shared" si="14"/>
        <v>2287.2350159999996</v>
      </c>
    </row>
    <row r="276" spans="1:10" ht="15.75" hidden="1">
      <c r="A276" s="45"/>
      <c r="B276" s="653"/>
      <c r="C276" s="45"/>
      <c r="D276" s="248" t="s">
        <v>2305</v>
      </c>
      <c r="E276" s="403">
        <v>323.89</v>
      </c>
      <c r="F276" s="403">
        <v>10</v>
      </c>
      <c r="G276" s="403">
        <f t="shared" si="15"/>
        <v>3238.8999999999996</v>
      </c>
      <c r="H276" s="403"/>
      <c r="I276" s="403"/>
      <c r="J276" s="403">
        <f t="shared" si="14"/>
        <v>0</v>
      </c>
    </row>
    <row r="277" spans="1:10" ht="15.75" hidden="1">
      <c r="A277" s="24" t="s">
        <v>426</v>
      </c>
      <c r="B277" s="31" t="s">
        <v>425</v>
      </c>
      <c r="C277" s="24" t="s">
        <v>660</v>
      </c>
      <c r="D277" s="228" t="s">
        <v>2315</v>
      </c>
      <c r="E277" s="406">
        <v>123.85</v>
      </c>
      <c r="F277" s="406">
        <v>10</v>
      </c>
      <c r="G277" s="406">
        <f t="shared" si="15"/>
        <v>1238.5</v>
      </c>
      <c r="H277" s="406">
        <f>(G277+G278)*'Тарифные ставки'!$B$13</f>
        <v>11551.692</v>
      </c>
      <c r="I277" s="406"/>
      <c r="J277" s="406">
        <f t="shared" si="14"/>
        <v>2287.2350159999996</v>
      </c>
    </row>
    <row r="278" spans="1:10" ht="15.75" hidden="1">
      <c r="A278" s="45"/>
      <c r="B278" s="52"/>
      <c r="C278" s="45"/>
      <c r="D278" s="248" t="s">
        <v>2305</v>
      </c>
      <c r="E278" s="403">
        <v>323.89</v>
      </c>
      <c r="F278" s="403">
        <v>10</v>
      </c>
      <c r="G278" s="403">
        <f t="shared" si="15"/>
        <v>3238.8999999999996</v>
      </c>
      <c r="H278" s="403"/>
      <c r="I278" s="403"/>
      <c r="J278" s="403">
        <f t="shared" si="14"/>
        <v>0</v>
      </c>
    </row>
    <row r="279" spans="1:10" ht="15.75" hidden="1">
      <c r="A279" s="107" t="s">
        <v>746</v>
      </c>
      <c r="B279" s="652" t="s">
        <v>585</v>
      </c>
      <c r="C279" s="23" t="s">
        <v>660</v>
      </c>
      <c r="D279" s="228" t="s">
        <v>2315</v>
      </c>
      <c r="E279" s="406">
        <v>123.85</v>
      </c>
      <c r="F279" s="406">
        <v>10</v>
      </c>
      <c r="G279" s="406">
        <f t="shared" si="15"/>
        <v>1238.5</v>
      </c>
      <c r="H279" s="406">
        <f>(G279+G280)*'Тарифные ставки'!$B$13</f>
        <v>15729.873</v>
      </c>
      <c r="I279" s="406"/>
      <c r="J279" s="406">
        <f t="shared" si="14"/>
        <v>3114.514854</v>
      </c>
    </row>
    <row r="280" spans="1:10" ht="15.75" hidden="1">
      <c r="A280" s="45"/>
      <c r="B280" s="653"/>
      <c r="C280" s="38"/>
      <c r="D280" s="248" t="s">
        <v>2305</v>
      </c>
      <c r="E280" s="403">
        <v>323.89</v>
      </c>
      <c r="F280" s="403">
        <v>15</v>
      </c>
      <c r="G280" s="403">
        <f t="shared" si="15"/>
        <v>4858.349999999999</v>
      </c>
      <c r="H280" s="403"/>
      <c r="I280" s="403"/>
      <c r="J280" s="403">
        <f t="shared" si="14"/>
        <v>0</v>
      </c>
    </row>
    <row r="281" spans="2:10" ht="15.75">
      <c r="B281" s="6"/>
      <c r="E281" s="497"/>
      <c r="F281" s="497"/>
      <c r="G281" s="497"/>
      <c r="H281" s="497"/>
      <c r="I281" s="497"/>
      <c r="J281" s="497"/>
    </row>
    <row r="282" spans="2:10" ht="15.75">
      <c r="B282" s="6"/>
      <c r="E282" s="497"/>
      <c r="F282" s="497"/>
      <c r="G282" s="497"/>
      <c r="H282" s="497"/>
      <c r="I282" s="497"/>
      <c r="J282" s="497"/>
    </row>
    <row r="283" spans="2:10" ht="15.75">
      <c r="B283" s="6"/>
      <c r="E283" s="497"/>
      <c r="F283" s="497"/>
      <c r="G283" s="497"/>
      <c r="H283" s="497"/>
      <c r="I283" s="497"/>
      <c r="J283" s="497"/>
    </row>
    <row r="284" spans="2:10" ht="15.75">
      <c r="B284" s="6"/>
      <c r="E284" s="497"/>
      <c r="F284" s="497"/>
      <c r="G284" s="497"/>
      <c r="H284" s="497"/>
      <c r="I284" s="497"/>
      <c r="J284" s="497"/>
    </row>
    <row r="285" spans="2:10" ht="15.75">
      <c r="B285" s="6"/>
      <c r="E285" s="497"/>
      <c r="F285" s="497"/>
      <c r="G285" s="497"/>
      <c r="H285" s="497"/>
      <c r="I285" s="497"/>
      <c r="J285" s="497"/>
    </row>
    <row r="286" spans="2:10" ht="15.75">
      <c r="B286" s="6"/>
      <c r="E286" s="497"/>
      <c r="F286" s="497"/>
      <c r="G286" s="497"/>
      <c r="H286" s="497"/>
      <c r="I286" s="497"/>
      <c r="J286" s="497"/>
    </row>
    <row r="287" spans="2:10" ht="15.75">
      <c r="B287" s="6"/>
      <c r="E287" s="497"/>
      <c r="F287" s="497"/>
      <c r="G287" s="497"/>
      <c r="H287" s="497"/>
      <c r="I287" s="497"/>
      <c r="J287" s="497"/>
    </row>
    <row r="288" spans="2:10" ht="15.75">
      <c r="B288" s="6"/>
      <c r="E288" s="497"/>
      <c r="F288" s="497"/>
      <c r="G288" s="497"/>
      <c r="H288" s="497"/>
      <c r="I288" s="497"/>
      <c r="J288" s="497"/>
    </row>
    <row r="289" spans="2:10" ht="15.75">
      <c r="B289" s="6"/>
      <c r="E289" s="497"/>
      <c r="F289" s="497"/>
      <c r="G289" s="497"/>
      <c r="H289" s="497"/>
      <c r="I289" s="497"/>
      <c r="J289" s="497"/>
    </row>
    <row r="290" spans="2:10" ht="15.75">
      <c r="B290" s="6"/>
      <c r="E290" s="497"/>
      <c r="F290" s="497"/>
      <c r="G290" s="497"/>
      <c r="H290" s="497"/>
      <c r="I290" s="497"/>
      <c r="J290" s="497"/>
    </row>
    <row r="291" spans="2:10" ht="15.75">
      <c r="B291" s="6"/>
      <c r="E291" s="497"/>
      <c r="F291" s="497"/>
      <c r="G291" s="497"/>
      <c r="H291" s="497"/>
      <c r="I291" s="497"/>
      <c r="J291" s="497"/>
    </row>
    <row r="292" spans="2:10" ht="15.75">
      <c r="B292" s="6"/>
      <c r="E292" s="497"/>
      <c r="F292" s="497"/>
      <c r="G292" s="497"/>
      <c r="H292" s="497"/>
      <c r="I292" s="497"/>
      <c r="J292" s="497"/>
    </row>
    <row r="293" spans="2:10" ht="15.75">
      <c r="B293" s="6"/>
      <c r="E293" s="497"/>
      <c r="F293" s="497"/>
      <c r="G293" s="497"/>
      <c r="H293" s="497"/>
      <c r="I293" s="497"/>
      <c r="J293" s="497"/>
    </row>
    <row r="294" spans="2:10" ht="15.75">
      <c r="B294" s="6"/>
      <c r="E294" s="497"/>
      <c r="F294" s="497"/>
      <c r="G294" s="497"/>
      <c r="H294" s="497"/>
      <c r="I294" s="497"/>
      <c r="J294" s="497"/>
    </row>
    <row r="295" spans="2:10" ht="15.75">
      <c r="B295" s="6"/>
      <c r="E295" s="497"/>
      <c r="F295" s="497"/>
      <c r="G295" s="497"/>
      <c r="H295" s="497"/>
      <c r="I295" s="497"/>
      <c r="J295" s="497"/>
    </row>
    <row r="296" spans="2:10" ht="15.75">
      <c r="B296" s="6"/>
      <c r="E296" s="497"/>
      <c r="F296" s="497"/>
      <c r="G296" s="497"/>
      <c r="H296" s="497"/>
      <c r="I296" s="497"/>
      <c r="J296" s="497"/>
    </row>
    <row r="297" spans="2:8" ht="15.75">
      <c r="B297" s="6"/>
      <c r="E297" s="497"/>
      <c r="G297" s="497"/>
      <c r="H297" s="497"/>
    </row>
    <row r="298" spans="2:8" ht="15.75">
      <c r="B298" s="6"/>
      <c r="E298" s="497"/>
      <c r="G298" s="497"/>
      <c r="H298" s="497"/>
    </row>
    <row r="299" spans="2:8" ht="15.75">
      <c r="B299" s="6"/>
      <c r="E299" s="497"/>
      <c r="G299" s="497"/>
      <c r="H299" s="497"/>
    </row>
    <row r="300" spans="2:5" ht="15.75">
      <c r="B300" s="6"/>
      <c r="E300" s="497"/>
    </row>
    <row r="301" spans="2:5" ht="15.75">
      <c r="B301" s="6"/>
      <c r="E301" s="497"/>
    </row>
    <row r="302" spans="2:5" ht="15.75">
      <c r="B302" s="6"/>
      <c r="E302" s="497"/>
    </row>
    <row r="303" spans="2:5" ht="15.75">
      <c r="B303" s="6"/>
      <c r="E303" s="497"/>
    </row>
    <row r="304" spans="2:5" ht="15.75">
      <c r="B304" s="6"/>
      <c r="E304" s="497"/>
    </row>
    <row r="305" spans="2:5" ht="15.75">
      <c r="B305" s="6"/>
      <c r="E305" s="497"/>
    </row>
    <row r="306" spans="2:5" ht="15.75">
      <c r="B306" s="6"/>
      <c r="E306" s="497"/>
    </row>
    <row r="307" spans="2:5" ht="15.75">
      <c r="B307" s="6"/>
      <c r="E307" s="497"/>
    </row>
    <row r="308" spans="2:5" ht="15.75">
      <c r="B308" s="6"/>
      <c r="E308" s="497"/>
    </row>
    <row r="309" spans="2:5" ht="15.75">
      <c r="B309" s="6"/>
      <c r="E309" s="497"/>
    </row>
    <row r="310" spans="2:5" ht="15.75">
      <c r="B310" s="6"/>
      <c r="E310" s="497"/>
    </row>
    <row r="311" ht="15.75">
      <c r="B311" s="6"/>
    </row>
    <row r="312" ht="15.75">
      <c r="B312" s="6"/>
    </row>
    <row r="313" ht="15.75">
      <c r="B313" s="6"/>
    </row>
    <row r="314" ht="15.75">
      <c r="B314" s="6"/>
    </row>
    <row r="315" ht="15.75">
      <c r="B315" s="6"/>
    </row>
    <row r="316" ht="15.75">
      <c r="B316" s="6"/>
    </row>
    <row r="317" ht="15.75">
      <c r="B317" s="6"/>
    </row>
    <row r="318" ht="15.75">
      <c r="B318" s="6"/>
    </row>
    <row r="319" ht="15.75">
      <c r="B319" s="6"/>
    </row>
    <row r="320" ht="15.75">
      <c r="B320" s="6"/>
    </row>
    <row r="321" ht="15.75">
      <c r="B321" s="6"/>
    </row>
    <row r="322" ht="15.75">
      <c r="B322" s="6"/>
    </row>
    <row r="323" ht="15.75">
      <c r="B323" s="6"/>
    </row>
    <row r="324" ht="15.75">
      <c r="B324" s="6"/>
    </row>
    <row r="325" ht="15.75">
      <c r="B325" s="6"/>
    </row>
    <row r="326" ht="15.75">
      <c r="B326" s="6"/>
    </row>
    <row r="327" ht="15.75">
      <c r="B327" s="6"/>
    </row>
    <row r="328" ht="15.75">
      <c r="B328" s="6"/>
    </row>
    <row r="329" ht="15.75">
      <c r="B329" s="6"/>
    </row>
    <row r="330" ht="15.75">
      <c r="B330" s="6"/>
    </row>
    <row r="331" ht="15.75">
      <c r="B331" s="6"/>
    </row>
    <row r="332" ht="15.75">
      <c r="B332" s="6"/>
    </row>
    <row r="333" ht="15.75">
      <c r="B333" s="6"/>
    </row>
    <row r="334" ht="15.75">
      <c r="B334" s="6"/>
    </row>
    <row r="335" ht="15.75">
      <c r="B335" s="6"/>
    </row>
    <row r="336" ht="15.75">
      <c r="B336" s="6"/>
    </row>
    <row r="337" ht="15.75">
      <c r="B337" s="6"/>
    </row>
    <row r="338" ht="15.75">
      <c r="B338" s="6"/>
    </row>
    <row r="339" ht="15.75">
      <c r="B339" s="6"/>
    </row>
    <row r="340" ht="15.75">
      <c r="B340" s="6"/>
    </row>
    <row r="341" ht="15.75">
      <c r="B341" s="6"/>
    </row>
    <row r="342" ht="15.75">
      <c r="B342" s="6"/>
    </row>
    <row r="343" ht="15.75">
      <c r="B343" s="6"/>
    </row>
    <row r="344" ht="15.75">
      <c r="B344" s="6"/>
    </row>
    <row r="345" ht="15.75">
      <c r="B345" s="6"/>
    </row>
    <row r="346" ht="15.75">
      <c r="B346" s="6"/>
    </row>
    <row r="347" ht="15.75">
      <c r="B347" s="6"/>
    </row>
    <row r="348" ht="15.75">
      <c r="B348" s="6"/>
    </row>
    <row r="349" ht="15.75">
      <c r="B349" s="6"/>
    </row>
    <row r="350" ht="15.75">
      <c r="B350" s="6"/>
    </row>
    <row r="351" ht="15.75">
      <c r="B351" s="6"/>
    </row>
    <row r="352" ht="15.75">
      <c r="B352" s="6"/>
    </row>
    <row r="353" ht="15.75">
      <c r="B353" s="6"/>
    </row>
    <row r="354" ht="15.75">
      <c r="B354" s="6"/>
    </row>
    <row r="355" ht="15.75">
      <c r="B355" s="6"/>
    </row>
    <row r="356" ht="15.75">
      <c r="B356" s="6"/>
    </row>
    <row r="357" ht="15.75">
      <c r="B357" s="6"/>
    </row>
    <row r="358" ht="15.75">
      <c r="B358" s="6"/>
    </row>
    <row r="359" ht="15.75">
      <c r="B359" s="6"/>
    </row>
    <row r="360" ht="15.75">
      <c r="B360" s="6"/>
    </row>
    <row r="361" ht="15.75">
      <c r="B361" s="6"/>
    </row>
    <row r="362" ht="15.75">
      <c r="B362" s="6"/>
    </row>
    <row r="363" ht="15.75">
      <c r="B363" s="6"/>
    </row>
    <row r="364" ht="15.75">
      <c r="B364" s="6"/>
    </row>
    <row r="365" ht="15.75">
      <c r="B365" s="6"/>
    </row>
    <row r="366" ht="15.75">
      <c r="B366" s="6"/>
    </row>
    <row r="367" ht="15.75">
      <c r="B367" s="6"/>
    </row>
    <row r="368" ht="15.75">
      <c r="B368" s="6"/>
    </row>
    <row r="369" ht="15.75">
      <c r="B369" s="6"/>
    </row>
    <row r="370" ht="15.75">
      <c r="B370" s="6"/>
    </row>
    <row r="371" ht="15.75">
      <c r="B371" s="6"/>
    </row>
    <row r="372" ht="15.75">
      <c r="B372" s="6"/>
    </row>
    <row r="373" ht="15.75">
      <c r="B373" s="6"/>
    </row>
    <row r="374" ht="15.75">
      <c r="B374" s="6"/>
    </row>
    <row r="375" ht="15.75">
      <c r="B375" s="6"/>
    </row>
    <row r="376" ht="15.75">
      <c r="B376" s="6"/>
    </row>
    <row r="377" ht="15.75">
      <c r="B377" s="6"/>
    </row>
    <row r="378" ht="15.75">
      <c r="B378" s="6"/>
    </row>
    <row r="379" ht="15.75">
      <c r="B379" s="6"/>
    </row>
    <row r="380" ht="15.75">
      <c r="B380" s="6"/>
    </row>
    <row r="381" ht="15.75">
      <c r="B381" s="6"/>
    </row>
    <row r="382" ht="15.75">
      <c r="B382" s="6"/>
    </row>
    <row r="383" ht="15.75">
      <c r="B383" s="6"/>
    </row>
    <row r="384" ht="15.75">
      <c r="B384" s="6"/>
    </row>
    <row r="385" ht="15.75">
      <c r="B385" s="6"/>
    </row>
    <row r="386" ht="15.75">
      <c r="B386" s="6"/>
    </row>
    <row r="387" ht="15.75">
      <c r="B387" s="6"/>
    </row>
    <row r="388" ht="15.75">
      <c r="B388" s="6"/>
    </row>
    <row r="389" ht="15.75">
      <c r="B389" s="6"/>
    </row>
    <row r="390" ht="15.75">
      <c r="B390" s="6"/>
    </row>
    <row r="391" ht="15.75">
      <c r="B391" s="6"/>
    </row>
    <row r="392" ht="15.75">
      <c r="B392" s="6"/>
    </row>
    <row r="393" ht="15.75">
      <c r="B393" s="6"/>
    </row>
    <row r="394" ht="15.75">
      <c r="B394" s="6"/>
    </row>
    <row r="395" ht="15.75">
      <c r="B395" s="6"/>
    </row>
    <row r="396" ht="15.75">
      <c r="B396" s="6"/>
    </row>
    <row r="397" ht="15.75">
      <c r="B397" s="6"/>
    </row>
    <row r="398" ht="15.75">
      <c r="B398" s="6"/>
    </row>
    <row r="399" ht="15.75">
      <c r="B399" s="6"/>
    </row>
    <row r="400" ht="15.75">
      <c r="B400" s="6"/>
    </row>
    <row r="401" ht="15.75">
      <c r="B401" s="6"/>
    </row>
    <row r="402" ht="15.75">
      <c r="B402" s="6"/>
    </row>
    <row r="403" ht="15.75">
      <c r="B403" s="6"/>
    </row>
    <row r="404" ht="15.75">
      <c r="B404" s="6"/>
    </row>
    <row r="405" ht="15.75">
      <c r="B405" s="6"/>
    </row>
    <row r="406" ht="15.75">
      <c r="B406" s="6"/>
    </row>
    <row r="407" ht="15.75">
      <c r="B407" s="6"/>
    </row>
    <row r="408" ht="15.75">
      <c r="B408" s="6"/>
    </row>
    <row r="409" ht="15.75">
      <c r="B409" s="6"/>
    </row>
    <row r="410" ht="15.75">
      <c r="B410" s="6"/>
    </row>
    <row r="411" ht="15.75">
      <c r="B411" s="6"/>
    </row>
    <row r="412" ht="15.75">
      <c r="B412" s="6"/>
    </row>
    <row r="413" ht="15.75">
      <c r="B413" s="6"/>
    </row>
    <row r="414" ht="15.75">
      <c r="B414" s="6"/>
    </row>
    <row r="415" ht="15.75">
      <c r="B415" s="6"/>
    </row>
    <row r="416" ht="15.75">
      <c r="B416" s="6"/>
    </row>
    <row r="417" ht="15.75">
      <c r="B417" s="6"/>
    </row>
    <row r="418" ht="15.75">
      <c r="B418" s="6"/>
    </row>
    <row r="419" ht="15.75">
      <c r="B419" s="6"/>
    </row>
    <row r="420" ht="15.75">
      <c r="B420" s="6"/>
    </row>
    <row r="421" ht="15.75">
      <c r="B421" s="6"/>
    </row>
    <row r="422" ht="15.75">
      <c r="B422" s="6"/>
    </row>
    <row r="423" ht="15.75">
      <c r="B423" s="6"/>
    </row>
    <row r="424" ht="15.75">
      <c r="B424" s="6"/>
    </row>
    <row r="425" ht="15.75">
      <c r="B425" s="6"/>
    </row>
    <row r="426" ht="15.75">
      <c r="B426" s="6"/>
    </row>
    <row r="427" ht="15.75">
      <c r="B427" s="6"/>
    </row>
    <row r="428" ht="15.75">
      <c r="B428" s="6"/>
    </row>
    <row r="429" ht="15.75">
      <c r="B429" s="6"/>
    </row>
    <row r="430" ht="15.75">
      <c r="B430" s="6"/>
    </row>
    <row r="431" ht="15.75">
      <c r="B431" s="6"/>
    </row>
    <row r="432" ht="15.75">
      <c r="B432" s="6"/>
    </row>
    <row r="433" ht="15.75">
      <c r="B433" s="6"/>
    </row>
    <row r="434" ht="15.75">
      <c r="B434" s="6"/>
    </row>
    <row r="435" ht="15.75">
      <c r="B435" s="6"/>
    </row>
    <row r="436" ht="15.75">
      <c r="B436" s="6"/>
    </row>
    <row r="437" ht="15.75">
      <c r="B437" s="6"/>
    </row>
    <row r="438" ht="15.75">
      <c r="B438" s="6"/>
    </row>
    <row r="439" ht="15.75">
      <c r="B439" s="6"/>
    </row>
    <row r="440" ht="15.75">
      <c r="B440" s="6"/>
    </row>
    <row r="441" ht="15.75">
      <c r="B441" s="6"/>
    </row>
    <row r="442" ht="15.75">
      <c r="B442" s="6"/>
    </row>
    <row r="443" ht="15.75">
      <c r="B443" s="6"/>
    </row>
    <row r="444" ht="15.75">
      <c r="B444" s="6"/>
    </row>
    <row r="445" ht="15.75">
      <c r="B445" s="6"/>
    </row>
    <row r="446" ht="15.75">
      <c r="B446" s="6"/>
    </row>
    <row r="447" ht="15.75">
      <c r="B447" s="6"/>
    </row>
    <row r="448" ht="15.75">
      <c r="B448" s="6"/>
    </row>
    <row r="449" ht="15.75">
      <c r="B449" s="6"/>
    </row>
    <row r="450" ht="15.75">
      <c r="B450" s="6"/>
    </row>
    <row r="451" ht="15.75">
      <c r="B451" s="6"/>
    </row>
    <row r="452" ht="15.75">
      <c r="B452" s="6"/>
    </row>
    <row r="453" ht="15.75">
      <c r="B453" s="6"/>
    </row>
    <row r="454" ht="15.75">
      <c r="B454" s="6"/>
    </row>
    <row r="455" ht="15.75">
      <c r="B455" s="6"/>
    </row>
    <row r="456" ht="15.75">
      <c r="B456" s="6"/>
    </row>
    <row r="457" ht="15.75">
      <c r="B457" s="6"/>
    </row>
    <row r="458" ht="15.75">
      <c r="B458" s="6"/>
    </row>
    <row r="459" ht="15.75">
      <c r="B459" s="6"/>
    </row>
    <row r="460" ht="15.75">
      <c r="B460" s="6"/>
    </row>
    <row r="461" ht="15.75">
      <c r="B461" s="6"/>
    </row>
    <row r="462" ht="15.75">
      <c r="B462" s="6"/>
    </row>
    <row r="463" ht="15.75">
      <c r="B463" s="6"/>
    </row>
    <row r="464" ht="15.75">
      <c r="B464" s="6"/>
    </row>
    <row r="465" ht="15.75">
      <c r="B465" s="6"/>
    </row>
    <row r="466" ht="15.75">
      <c r="B466" s="6"/>
    </row>
    <row r="467" ht="15.75">
      <c r="B467" s="6"/>
    </row>
    <row r="468" ht="15.75">
      <c r="B468" s="6"/>
    </row>
    <row r="469" ht="15.75">
      <c r="B469" s="6"/>
    </row>
    <row r="470" ht="15.75">
      <c r="B470" s="6"/>
    </row>
    <row r="471" ht="15.75">
      <c r="B471" s="6"/>
    </row>
    <row r="472" ht="15.75">
      <c r="B472" s="6"/>
    </row>
    <row r="473" ht="15.75">
      <c r="B473" s="6"/>
    </row>
    <row r="474" ht="15.75">
      <c r="B474" s="6"/>
    </row>
    <row r="475" ht="15.75">
      <c r="B475" s="6"/>
    </row>
    <row r="476" ht="15.75">
      <c r="B476" s="6"/>
    </row>
    <row r="477" ht="15.75">
      <c r="B477" s="6"/>
    </row>
    <row r="478" ht="15.75">
      <c r="B478" s="6"/>
    </row>
    <row r="479" ht="15.75">
      <c r="B479" s="6"/>
    </row>
    <row r="480" ht="15.75">
      <c r="B480" s="6"/>
    </row>
    <row r="481" ht="15.75">
      <c r="B481" s="6"/>
    </row>
    <row r="482" ht="15.75">
      <c r="B482" s="6"/>
    </row>
    <row r="483" ht="15.75">
      <c r="B483" s="6"/>
    </row>
    <row r="484" ht="15.75">
      <c r="B484" s="6"/>
    </row>
    <row r="485" ht="15.75">
      <c r="B485" s="6"/>
    </row>
    <row r="486" ht="15.75">
      <c r="B486" s="6"/>
    </row>
    <row r="487" ht="15.75">
      <c r="B487" s="6"/>
    </row>
    <row r="488" ht="15.75">
      <c r="B488" s="6"/>
    </row>
    <row r="489" ht="15.75">
      <c r="B489" s="6"/>
    </row>
    <row r="490" ht="15.75">
      <c r="B490" s="6"/>
    </row>
    <row r="491" ht="15.75">
      <c r="B491" s="6"/>
    </row>
    <row r="492" ht="15.75">
      <c r="B492" s="6"/>
    </row>
    <row r="493" ht="15.75">
      <c r="B493" s="6"/>
    </row>
    <row r="494" ht="15.75">
      <c r="B494" s="6"/>
    </row>
    <row r="495" ht="15.75">
      <c r="B495" s="6"/>
    </row>
    <row r="496" ht="15.75">
      <c r="B496" s="6"/>
    </row>
    <row r="497" ht="15.75">
      <c r="B497" s="6"/>
    </row>
    <row r="498" ht="15.75">
      <c r="B498" s="6"/>
    </row>
    <row r="499" ht="15.75">
      <c r="B499" s="6"/>
    </row>
    <row r="500" ht="15.75">
      <c r="B500" s="6"/>
    </row>
    <row r="501" ht="15.75">
      <c r="B501" s="6"/>
    </row>
    <row r="502" ht="15.75">
      <c r="B502" s="6"/>
    </row>
    <row r="503" ht="15.75">
      <c r="B503" s="6"/>
    </row>
    <row r="504" ht="15.75">
      <c r="B504" s="6"/>
    </row>
    <row r="505" ht="15.75">
      <c r="B505" s="6"/>
    </row>
    <row r="506" ht="15.75">
      <c r="B506" s="6"/>
    </row>
    <row r="507" ht="15.75">
      <c r="B507" s="6"/>
    </row>
    <row r="508" ht="15.75">
      <c r="B508" s="6"/>
    </row>
    <row r="509" ht="15.75">
      <c r="B509" s="6"/>
    </row>
    <row r="510" ht="15.75">
      <c r="B510" s="6"/>
    </row>
    <row r="511" ht="15.75">
      <c r="B511" s="6"/>
    </row>
    <row r="512" ht="15.75">
      <c r="B512" s="6"/>
    </row>
    <row r="513" ht="15.75">
      <c r="B513" s="6"/>
    </row>
    <row r="514" ht="15.75">
      <c r="B514" s="6"/>
    </row>
    <row r="515" ht="15.75">
      <c r="B515" s="6"/>
    </row>
    <row r="516" ht="15.75">
      <c r="B516" s="6"/>
    </row>
    <row r="517" ht="15.75">
      <c r="B517" s="6"/>
    </row>
    <row r="518" ht="15.75">
      <c r="B518" s="6"/>
    </row>
    <row r="519" ht="15.75">
      <c r="B519" s="6"/>
    </row>
    <row r="520" ht="15.75">
      <c r="B520" s="6"/>
    </row>
    <row r="521" ht="15.75">
      <c r="B521" s="6"/>
    </row>
    <row r="522" ht="15.75">
      <c r="B522" s="6"/>
    </row>
    <row r="523" ht="15.75">
      <c r="B523" s="6"/>
    </row>
    <row r="524" ht="15.75">
      <c r="B524" s="6"/>
    </row>
    <row r="525" ht="15.75">
      <c r="B525" s="6"/>
    </row>
    <row r="526" ht="15.75">
      <c r="B526" s="6"/>
    </row>
    <row r="527" ht="15.75">
      <c r="B527" s="6"/>
    </row>
    <row r="528" ht="15.75">
      <c r="B528" s="6"/>
    </row>
    <row r="529" ht="15.75">
      <c r="B529" s="6"/>
    </row>
    <row r="530" ht="15.75">
      <c r="B530" s="6"/>
    </row>
    <row r="531" ht="15.75">
      <c r="B531" s="6"/>
    </row>
    <row r="532" ht="15.75">
      <c r="B532" s="6"/>
    </row>
    <row r="533" ht="15.75">
      <c r="B533" s="6"/>
    </row>
    <row r="534" ht="15.75">
      <c r="B534" s="6"/>
    </row>
    <row r="535" ht="15.75">
      <c r="B535" s="6"/>
    </row>
    <row r="536" ht="15.75">
      <c r="B536" s="6"/>
    </row>
    <row r="537" ht="15.75">
      <c r="B537" s="6"/>
    </row>
    <row r="538" ht="15.75">
      <c r="B538" s="6"/>
    </row>
    <row r="539" ht="15.75">
      <c r="B539" s="6"/>
    </row>
    <row r="540" ht="15.75">
      <c r="B540" s="6"/>
    </row>
    <row r="541" ht="15.75">
      <c r="B541" s="6"/>
    </row>
    <row r="542" ht="15.75">
      <c r="B542" s="6"/>
    </row>
    <row r="543" ht="15.75">
      <c r="B543" s="6"/>
    </row>
    <row r="544" ht="15.75">
      <c r="B544" s="6"/>
    </row>
    <row r="545" ht="15.75">
      <c r="B545" s="6"/>
    </row>
    <row r="546" ht="15.75">
      <c r="B546" s="6"/>
    </row>
    <row r="547" ht="15.75">
      <c r="B547" s="6"/>
    </row>
    <row r="548" ht="15.75">
      <c r="B548" s="6"/>
    </row>
    <row r="549" ht="15.75">
      <c r="B549" s="6"/>
    </row>
    <row r="550" ht="15.75">
      <c r="B550" s="6"/>
    </row>
    <row r="551" ht="15.75">
      <c r="B551" s="6"/>
    </row>
    <row r="552" ht="15.75">
      <c r="B552" s="6"/>
    </row>
    <row r="553" ht="15.75">
      <c r="B553" s="6"/>
    </row>
    <row r="554" ht="15.75">
      <c r="B554" s="6"/>
    </row>
    <row r="555" ht="15.75">
      <c r="B555" s="6"/>
    </row>
    <row r="556" ht="15.75">
      <c r="B556" s="6"/>
    </row>
    <row r="557" ht="15.75">
      <c r="B557" s="6"/>
    </row>
    <row r="558" ht="15.75">
      <c r="B558" s="6"/>
    </row>
    <row r="559" ht="15.75">
      <c r="B559" s="6"/>
    </row>
    <row r="560" ht="15.75">
      <c r="B560" s="6"/>
    </row>
    <row r="561" ht="15.75">
      <c r="B561" s="6"/>
    </row>
    <row r="562" ht="15.75">
      <c r="B562" s="6"/>
    </row>
    <row r="563" ht="15.75">
      <c r="B563" s="6"/>
    </row>
    <row r="564" ht="15.75">
      <c r="B564" s="6"/>
    </row>
    <row r="565" ht="15.75">
      <c r="B565" s="6"/>
    </row>
    <row r="566" ht="15.75">
      <c r="B566" s="6"/>
    </row>
    <row r="567" ht="15.75">
      <c r="B567" s="6"/>
    </row>
    <row r="568" ht="15.75">
      <c r="B568" s="6"/>
    </row>
    <row r="569" ht="15.75">
      <c r="B569" s="6"/>
    </row>
    <row r="570" ht="15.75">
      <c r="B570" s="6"/>
    </row>
    <row r="571" ht="15.75">
      <c r="B571" s="6"/>
    </row>
    <row r="572" ht="15.75">
      <c r="B572" s="6"/>
    </row>
    <row r="573" ht="15.75">
      <c r="B573" s="6"/>
    </row>
    <row r="574" ht="15.75">
      <c r="B574" s="6"/>
    </row>
    <row r="575" ht="15.75">
      <c r="B575" s="6"/>
    </row>
    <row r="576" ht="15.75">
      <c r="B576" s="6"/>
    </row>
    <row r="577" ht="15.75">
      <c r="B577" s="6"/>
    </row>
    <row r="578" ht="15.75">
      <c r="B578" s="6"/>
    </row>
    <row r="579" ht="15.75">
      <c r="B579" s="6"/>
    </row>
    <row r="580" ht="15.75">
      <c r="B580" s="6"/>
    </row>
    <row r="581" ht="15.75">
      <c r="B581" s="6"/>
    </row>
    <row r="582" ht="15.75">
      <c r="B582" s="6"/>
    </row>
    <row r="583" ht="15.75">
      <c r="B583" s="6"/>
    </row>
    <row r="584" ht="15.75">
      <c r="B584" s="6"/>
    </row>
    <row r="585" ht="15.75">
      <c r="B585" s="6"/>
    </row>
    <row r="586" ht="15.75">
      <c r="B586" s="6"/>
    </row>
    <row r="587" ht="15.75">
      <c r="B587" s="6"/>
    </row>
    <row r="588" ht="15.75">
      <c r="B588" s="6"/>
    </row>
    <row r="589" ht="15.75">
      <c r="B589" s="6"/>
    </row>
    <row r="590" ht="15.75">
      <c r="B590" s="6"/>
    </row>
    <row r="591" ht="15.75">
      <c r="B591" s="6"/>
    </row>
    <row r="592" ht="15.75">
      <c r="B592" s="6"/>
    </row>
    <row r="593" ht="15.75">
      <c r="B593" s="6"/>
    </row>
    <row r="594" ht="15.75">
      <c r="B594" s="6"/>
    </row>
    <row r="595" ht="15.75">
      <c r="B595" s="6"/>
    </row>
    <row r="596" ht="15.75">
      <c r="B596" s="6"/>
    </row>
    <row r="597" ht="15.75">
      <c r="B597" s="6"/>
    </row>
    <row r="598" ht="15.75">
      <c r="B598" s="6"/>
    </row>
    <row r="599" ht="15.75">
      <c r="B599" s="6"/>
    </row>
    <row r="600" ht="15.75">
      <c r="B600" s="6"/>
    </row>
    <row r="601" ht="15.75">
      <c r="B601" s="6"/>
    </row>
    <row r="602" ht="15.75">
      <c r="B602" s="6"/>
    </row>
    <row r="603" ht="15.75">
      <c r="B603" s="6"/>
    </row>
    <row r="604" ht="15.75">
      <c r="B604" s="6"/>
    </row>
    <row r="605" ht="15.75">
      <c r="B605" s="6"/>
    </row>
    <row r="606" ht="15.75">
      <c r="B606" s="6"/>
    </row>
    <row r="607" ht="15.75">
      <c r="B607" s="6"/>
    </row>
    <row r="608" ht="15.75">
      <c r="B608" s="6"/>
    </row>
    <row r="609" ht="15.75">
      <c r="B609" s="6"/>
    </row>
    <row r="610" ht="15.75">
      <c r="B610" s="6"/>
    </row>
    <row r="611" ht="15.75">
      <c r="B611" s="6"/>
    </row>
    <row r="612" ht="15.75">
      <c r="B612" s="6"/>
    </row>
    <row r="613" ht="15.75">
      <c r="B613" s="6"/>
    </row>
    <row r="614" ht="15.75">
      <c r="B614" s="6"/>
    </row>
    <row r="615" ht="15.75">
      <c r="B615" s="6"/>
    </row>
    <row r="616" ht="15.75">
      <c r="B616" s="6"/>
    </row>
    <row r="617" ht="15.75">
      <c r="B617" s="6"/>
    </row>
    <row r="618" ht="15.75">
      <c r="B618" s="6"/>
    </row>
    <row r="619" ht="15.75">
      <c r="B619" s="6"/>
    </row>
    <row r="620" ht="15.75">
      <c r="B620" s="6"/>
    </row>
    <row r="621" ht="15.75">
      <c r="B621" s="6"/>
    </row>
    <row r="622" ht="15.75">
      <c r="B622" s="6"/>
    </row>
    <row r="623" ht="15.75">
      <c r="B623" s="6"/>
    </row>
    <row r="624" ht="15.75">
      <c r="B624" s="6"/>
    </row>
    <row r="625" ht="15.75">
      <c r="B625" s="6"/>
    </row>
    <row r="626" ht="15.75">
      <c r="B626" s="6"/>
    </row>
    <row r="627" ht="15.75">
      <c r="B627" s="6"/>
    </row>
    <row r="628" ht="15.75">
      <c r="B628" s="6"/>
    </row>
    <row r="629" ht="15.75">
      <c r="B629" s="6"/>
    </row>
    <row r="630" ht="15.75">
      <c r="B630" s="6"/>
    </row>
    <row r="631" ht="15.75">
      <c r="B631" s="6"/>
    </row>
    <row r="632" ht="15.75">
      <c r="B632" s="6"/>
    </row>
    <row r="633" ht="15.75">
      <c r="B633" s="6"/>
    </row>
    <row r="634" ht="15.75">
      <c r="B634" s="6"/>
    </row>
    <row r="635" ht="15.75">
      <c r="B635" s="6"/>
    </row>
    <row r="636" ht="15.75">
      <c r="B636" s="6"/>
    </row>
    <row r="637" ht="15.75">
      <c r="B637" s="6"/>
    </row>
    <row r="638" ht="15.75">
      <c r="B638" s="6"/>
    </row>
    <row r="639" ht="15.75">
      <c r="B639" s="6"/>
    </row>
    <row r="640" ht="15.75">
      <c r="B640" s="6"/>
    </row>
    <row r="641" ht="15.75">
      <c r="B641" s="6"/>
    </row>
    <row r="642" ht="15.75">
      <c r="B642" s="6"/>
    </row>
    <row r="643" ht="15.75">
      <c r="B643" s="6"/>
    </row>
    <row r="644" ht="15.75">
      <c r="B644" s="6"/>
    </row>
    <row r="645" ht="15.75">
      <c r="B645" s="6"/>
    </row>
    <row r="646" ht="15.75">
      <c r="B646" s="6"/>
    </row>
    <row r="647" ht="15.75">
      <c r="B647" s="6"/>
    </row>
    <row r="648" ht="15.75">
      <c r="B648" s="6"/>
    </row>
    <row r="649" ht="15.75">
      <c r="B649" s="6"/>
    </row>
    <row r="650" ht="15.75">
      <c r="B650" s="6"/>
    </row>
    <row r="651" ht="15.75">
      <c r="B651" s="6"/>
    </row>
    <row r="652" ht="15.75">
      <c r="B652" s="6"/>
    </row>
    <row r="653" ht="15.75">
      <c r="B653" s="6"/>
    </row>
    <row r="654" ht="15.75">
      <c r="B654" s="6"/>
    </row>
    <row r="655" ht="15.75">
      <c r="B655" s="6"/>
    </row>
    <row r="656" ht="15.75">
      <c r="B656" s="6"/>
    </row>
    <row r="657" ht="15.75">
      <c r="B657" s="6"/>
    </row>
    <row r="658" ht="15.75">
      <c r="B658" s="6"/>
    </row>
    <row r="659" ht="15.75">
      <c r="B659" s="6"/>
    </row>
    <row r="660" ht="15.75">
      <c r="B660" s="6"/>
    </row>
    <row r="661" ht="15.75">
      <c r="B661" s="6"/>
    </row>
    <row r="662" ht="15.75">
      <c r="B662" s="6"/>
    </row>
    <row r="663" ht="15.75">
      <c r="B663" s="6"/>
    </row>
    <row r="664" ht="15.75">
      <c r="B664" s="6"/>
    </row>
    <row r="665" ht="15.75">
      <c r="B665" s="6"/>
    </row>
    <row r="666" ht="15.75">
      <c r="B666" s="6"/>
    </row>
    <row r="667" ht="15.75">
      <c r="B667" s="6"/>
    </row>
    <row r="668" ht="15.75">
      <c r="B668" s="6"/>
    </row>
    <row r="669" ht="15.75">
      <c r="B669" s="6"/>
    </row>
    <row r="670" ht="15.75">
      <c r="B670" s="6"/>
    </row>
    <row r="671" ht="15.75">
      <c r="B671" s="6"/>
    </row>
    <row r="672" ht="15.75">
      <c r="B672" s="6"/>
    </row>
    <row r="673" ht="15.75">
      <c r="B673" s="6"/>
    </row>
    <row r="674" ht="15.75">
      <c r="B674" s="6"/>
    </row>
    <row r="675" ht="15.75">
      <c r="B675" s="6"/>
    </row>
    <row r="676" ht="15.75">
      <c r="B676" s="6"/>
    </row>
    <row r="677" ht="15.75">
      <c r="B677" s="6"/>
    </row>
    <row r="678" ht="15.75">
      <c r="B678" s="6"/>
    </row>
    <row r="679" ht="15.75">
      <c r="B679" s="6"/>
    </row>
    <row r="680" ht="15.75">
      <c r="B680" s="6"/>
    </row>
    <row r="681" ht="15.75">
      <c r="B681" s="6"/>
    </row>
    <row r="682" ht="15.75">
      <c r="B682" s="6"/>
    </row>
    <row r="683" ht="15.75">
      <c r="B683" s="6"/>
    </row>
    <row r="684" ht="15.75">
      <c r="B684" s="6"/>
    </row>
    <row r="685" ht="15.75">
      <c r="B685" s="6"/>
    </row>
    <row r="686" ht="15.75">
      <c r="B686" s="6"/>
    </row>
    <row r="687" ht="15.75">
      <c r="B687" s="6"/>
    </row>
    <row r="688" ht="15.75">
      <c r="B688" s="6"/>
    </row>
    <row r="689" ht="15.75">
      <c r="B689" s="6"/>
    </row>
    <row r="690" ht="15.75">
      <c r="B690" s="6"/>
    </row>
    <row r="691" ht="15.75">
      <c r="B691" s="6"/>
    </row>
    <row r="692" ht="15.75">
      <c r="B692" s="6"/>
    </row>
    <row r="693" ht="15.75">
      <c r="B693" s="6"/>
    </row>
    <row r="694" ht="15.75">
      <c r="B694" s="6"/>
    </row>
    <row r="695" ht="15.75">
      <c r="B695" s="6"/>
    </row>
    <row r="696" ht="15.75">
      <c r="B696" s="6"/>
    </row>
    <row r="697" ht="15.75">
      <c r="B697" s="6"/>
    </row>
    <row r="698" ht="15.75">
      <c r="B698" s="6"/>
    </row>
    <row r="699" ht="15.75">
      <c r="B699" s="6"/>
    </row>
    <row r="700" ht="15.75">
      <c r="B700" s="6"/>
    </row>
    <row r="701" ht="15.75">
      <c r="B701" s="6"/>
    </row>
    <row r="702" ht="15.75">
      <c r="B702" s="6"/>
    </row>
    <row r="703" ht="15.75">
      <c r="B703" s="6"/>
    </row>
    <row r="704" ht="15.75">
      <c r="B704" s="6"/>
    </row>
    <row r="705" ht="15.75">
      <c r="B705" s="6"/>
    </row>
    <row r="706" ht="15.75">
      <c r="B706" s="6"/>
    </row>
    <row r="707" ht="15.75">
      <c r="B707" s="6"/>
    </row>
    <row r="708" ht="15.75">
      <c r="B708" s="6"/>
    </row>
    <row r="709" ht="15.75">
      <c r="B709" s="6"/>
    </row>
    <row r="710" ht="15.75">
      <c r="B710" s="6"/>
    </row>
    <row r="711" ht="15.75">
      <c r="B711" s="6"/>
    </row>
    <row r="712" ht="15.75">
      <c r="B712" s="6"/>
    </row>
    <row r="713" ht="15.75">
      <c r="B713" s="6"/>
    </row>
    <row r="714" ht="15.75">
      <c r="B714" s="6"/>
    </row>
    <row r="715" ht="15.75">
      <c r="B715" s="6"/>
    </row>
    <row r="716" ht="15.75">
      <c r="B716" s="6"/>
    </row>
    <row r="717" ht="15.75">
      <c r="B717" s="6"/>
    </row>
    <row r="718" ht="15.75">
      <c r="B718" s="6"/>
    </row>
    <row r="719" ht="15.75">
      <c r="B719" s="6"/>
    </row>
    <row r="720" ht="15.75">
      <c r="B720" s="6"/>
    </row>
    <row r="721" ht="15.75">
      <c r="B721" s="6"/>
    </row>
    <row r="722" ht="15.75">
      <c r="B722" s="6"/>
    </row>
    <row r="723" ht="15.75">
      <c r="B723" s="6"/>
    </row>
    <row r="724" ht="15.75">
      <c r="B724" s="6"/>
    </row>
    <row r="725" ht="15.75">
      <c r="B725" s="6"/>
    </row>
    <row r="726" ht="15.75">
      <c r="B726" s="6"/>
    </row>
  </sheetData>
  <sheetProtection/>
  <autoFilter ref="A56:J259"/>
  <mergeCells count="39">
    <mergeCell ref="A1:J1"/>
    <mergeCell ref="A3:J3"/>
    <mergeCell ref="A54:J54"/>
    <mergeCell ref="B228:B229"/>
    <mergeCell ref="B242:B243"/>
    <mergeCell ref="B226:B227"/>
    <mergeCell ref="B84:B85"/>
    <mergeCell ref="B110:B111"/>
    <mergeCell ref="C50:C51"/>
    <mergeCell ref="A50:A51"/>
    <mergeCell ref="B275:B276"/>
    <mergeCell ref="B218:B220"/>
    <mergeCell ref="B222:B224"/>
    <mergeCell ref="A166:I166"/>
    <mergeCell ref="A190:A191"/>
    <mergeCell ref="B190:B191"/>
    <mergeCell ref="B216:B217"/>
    <mergeCell ref="A194:A196"/>
    <mergeCell ref="A261:J261"/>
    <mergeCell ref="B12:B13"/>
    <mergeCell ref="B14:B15"/>
    <mergeCell ref="B20:B21"/>
    <mergeCell ref="B22:B23"/>
    <mergeCell ref="A143:I143"/>
    <mergeCell ref="A225:J225"/>
    <mergeCell ref="B34:B35"/>
    <mergeCell ref="B36:B37"/>
    <mergeCell ref="A197:A199"/>
    <mergeCell ref="A144:J144"/>
    <mergeCell ref="B279:B280"/>
    <mergeCell ref="B247:B248"/>
    <mergeCell ref="B249:B250"/>
    <mergeCell ref="B252:B253"/>
    <mergeCell ref="B263:B264"/>
    <mergeCell ref="B30:B31"/>
    <mergeCell ref="A55:J55"/>
    <mergeCell ref="A192:A193"/>
    <mergeCell ref="B64:B65"/>
    <mergeCell ref="B50:B51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  <rowBreaks count="3" manualBreakCount="3">
    <brk id="54" max="9" man="1"/>
    <brk id="130" max="255" man="1"/>
    <brk id="22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K242"/>
  <sheetViews>
    <sheetView view="pageBreakPreview" zoomScale="110" zoomScaleSheetLayoutView="110" zoomScalePageLayoutView="0" workbookViewId="0" topLeftCell="A1">
      <pane xSplit="1" ySplit="5" topLeftCell="B170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N250" sqref="N250"/>
    </sheetView>
  </sheetViews>
  <sheetFormatPr defaultColWidth="9.00390625" defaultRowHeight="12.75"/>
  <cols>
    <col min="1" max="1" width="8.25390625" style="3" customWidth="1"/>
    <col min="2" max="2" width="55.375" style="6" customWidth="1"/>
    <col min="3" max="3" width="11.625" style="3" customWidth="1"/>
    <col min="4" max="6" width="11.625" style="3" hidden="1" customWidth="1"/>
    <col min="7" max="7" width="13.25390625" style="3" hidden="1" customWidth="1"/>
    <col min="8" max="8" width="16.75390625" style="3" hidden="1" customWidth="1"/>
    <col min="9" max="9" width="13.125" style="3" customWidth="1"/>
    <col min="10" max="10" width="13.75390625" style="3" customWidth="1"/>
    <col min="11" max="11" width="14.75390625" style="3" hidden="1" customWidth="1"/>
    <col min="12" max="12" width="10.375" style="3" hidden="1" customWidth="1"/>
    <col min="13" max="16384" width="9.125" style="3" customWidth="1"/>
  </cols>
  <sheetData>
    <row r="1" spans="1:10" s="2" customFormat="1" ht="15.75">
      <c r="A1" s="604" t="s">
        <v>1160</v>
      </c>
      <c r="B1" s="604"/>
      <c r="C1" s="604"/>
      <c r="D1" s="604"/>
      <c r="E1" s="604"/>
      <c r="F1" s="604"/>
      <c r="G1" s="604"/>
      <c r="H1" s="604"/>
      <c r="I1" s="604"/>
      <c r="J1" s="604"/>
    </row>
    <row r="3" spans="1:9" ht="15.75">
      <c r="A3" s="604" t="s">
        <v>464</v>
      </c>
      <c r="B3" s="604"/>
      <c r="C3" s="604"/>
      <c r="D3" s="604"/>
      <c r="E3" s="604"/>
      <c r="F3" s="604"/>
      <c r="G3" s="604"/>
      <c r="H3" s="604"/>
      <c r="I3" s="604"/>
    </row>
    <row r="5" spans="1:12" ht="63">
      <c r="A5" s="328" t="s">
        <v>83</v>
      </c>
      <c r="B5" s="313" t="s">
        <v>82</v>
      </c>
      <c r="C5" s="313" t="s">
        <v>77</v>
      </c>
      <c r="D5" s="313" t="s">
        <v>81</v>
      </c>
      <c r="E5" s="314" t="s">
        <v>85</v>
      </c>
      <c r="F5" s="314" t="s">
        <v>78</v>
      </c>
      <c r="G5" s="314" t="s">
        <v>79</v>
      </c>
      <c r="H5" s="314" t="s">
        <v>80</v>
      </c>
      <c r="I5" s="313" t="s">
        <v>843</v>
      </c>
      <c r="J5" s="313" t="s">
        <v>2349</v>
      </c>
      <c r="K5" s="476" t="s">
        <v>2386</v>
      </c>
      <c r="L5" s="477" t="s">
        <v>2385</v>
      </c>
    </row>
    <row r="6" spans="1:12" ht="15.75" hidden="1">
      <c r="A6" s="24" t="s">
        <v>465</v>
      </c>
      <c r="B6" s="652" t="s">
        <v>751</v>
      </c>
      <c r="C6" s="24" t="s">
        <v>2151</v>
      </c>
      <c r="D6" s="228" t="s">
        <v>847</v>
      </c>
      <c r="E6" s="48">
        <v>85.02</v>
      </c>
      <c r="F6" s="48">
        <v>9.36</v>
      </c>
      <c r="G6" s="48">
        <f aca="true" t="shared" si="0" ref="G6:G15">E6*F6</f>
        <v>795.7871999999999</v>
      </c>
      <c r="H6" s="48">
        <f>(G6+G7)*'Тарифные ставки'!$B$13</f>
        <v>4106.261952</v>
      </c>
      <c r="I6" s="48">
        <f>H6*'Тарифные ставки'!$B$14*'Тарифные ставки'!$B$15</f>
        <v>4976.789485824</v>
      </c>
      <c r="J6" s="24">
        <f aca="true" t="shared" si="1" ref="J6:J17">H6*1.1*0.18</f>
        <v>813.0398664960001</v>
      </c>
      <c r="K6" s="13"/>
      <c r="L6" s="13"/>
    </row>
    <row r="7" spans="1:12" ht="48" customHeight="1" hidden="1">
      <c r="A7" s="45"/>
      <c r="B7" s="653"/>
      <c r="C7" s="45"/>
      <c r="D7" s="233" t="s">
        <v>847</v>
      </c>
      <c r="E7" s="48">
        <v>85.02</v>
      </c>
      <c r="F7" s="47">
        <v>9.36</v>
      </c>
      <c r="G7" s="47">
        <f t="shared" si="0"/>
        <v>795.7871999999999</v>
      </c>
      <c r="H7" s="47"/>
      <c r="I7" s="47"/>
      <c r="J7" s="45">
        <f t="shared" si="1"/>
        <v>0</v>
      </c>
      <c r="K7" s="13"/>
      <c r="L7" s="13"/>
    </row>
    <row r="8" spans="1:12" ht="31.5" hidden="1">
      <c r="A8" s="94" t="s">
        <v>2152</v>
      </c>
      <c r="B8" s="31" t="s">
        <v>752</v>
      </c>
      <c r="C8" s="24" t="s">
        <v>2151</v>
      </c>
      <c r="D8" s="228" t="s">
        <v>847</v>
      </c>
      <c r="E8" s="48">
        <v>85.02</v>
      </c>
      <c r="F8" s="48">
        <v>10.8</v>
      </c>
      <c r="G8" s="48">
        <f t="shared" si="0"/>
        <v>918.216</v>
      </c>
      <c r="H8" s="48">
        <f>(G8+G9)*'Тарифные ставки'!$B$13</f>
        <v>4737.99456</v>
      </c>
      <c r="I8" s="48">
        <f>H8*'Тарифные ставки'!$B$14*'Тарифные ставки'!$B$15</f>
        <v>5742.449406719999</v>
      </c>
      <c r="J8" s="102">
        <f t="shared" si="1"/>
        <v>938.1229228800001</v>
      </c>
      <c r="K8" s="13"/>
      <c r="L8" s="13"/>
    </row>
    <row r="9" spans="1:12" ht="15.75" hidden="1">
      <c r="A9" s="45"/>
      <c r="B9" s="52"/>
      <c r="C9" s="45"/>
      <c r="D9" s="233" t="s">
        <v>847</v>
      </c>
      <c r="E9" s="48">
        <v>85.02</v>
      </c>
      <c r="F9" s="47">
        <v>10.8</v>
      </c>
      <c r="G9" s="47">
        <f t="shared" si="0"/>
        <v>918.216</v>
      </c>
      <c r="H9" s="47"/>
      <c r="I9" s="47"/>
      <c r="J9" s="102">
        <f t="shared" si="1"/>
        <v>0</v>
      </c>
      <c r="K9" s="13"/>
      <c r="L9" s="13"/>
    </row>
    <row r="10" spans="1:12" ht="31.5" hidden="1">
      <c r="A10" s="94" t="s">
        <v>2153</v>
      </c>
      <c r="B10" s="31" t="s">
        <v>1372</v>
      </c>
      <c r="C10" s="24" t="s">
        <v>2151</v>
      </c>
      <c r="D10" s="228" t="s">
        <v>847</v>
      </c>
      <c r="E10" s="48">
        <v>85.02</v>
      </c>
      <c r="F10" s="48">
        <v>12.6</v>
      </c>
      <c r="G10" s="48">
        <f t="shared" si="0"/>
        <v>1071.252</v>
      </c>
      <c r="H10" s="48">
        <f>(G10+G11)*'Тарифные ставки'!$B$13</f>
        <v>5527.66032</v>
      </c>
      <c r="I10" s="48">
        <f>H10*'Тарифные ставки'!$B$14*'Тарифные ставки'!$B$15</f>
        <v>6699.52430784</v>
      </c>
      <c r="J10" s="102">
        <f t="shared" si="1"/>
        <v>1094.47674336</v>
      </c>
      <c r="K10" s="13"/>
      <c r="L10" s="13"/>
    </row>
    <row r="11" spans="1:12" ht="15.75" hidden="1">
      <c r="A11" s="45"/>
      <c r="B11" s="52"/>
      <c r="C11" s="45"/>
      <c r="D11" s="233" t="s">
        <v>847</v>
      </c>
      <c r="E11" s="48">
        <v>85.02</v>
      </c>
      <c r="F11" s="47">
        <v>12.6</v>
      </c>
      <c r="G11" s="47">
        <f t="shared" si="0"/>
        <v>1071.252</v>
      </c>
      <c r="H11" s="47"/>
      <c r="I11" s="47"/>
      <c r="J11" s="102">
        <f t="shared" si="1"/>
        <v>0</v>
      </c>
      <c r="K11" s="13"/>
      <c r="L11" s="13"/>
    </row>
    <row r="12" spans="1:12" ht="31.5" hidden="1">
      <c r="A12" s="94" t="s">
        <v>2154</v>
      </c>
      <c r="B12" s="31" t="s">
        <v>1373</v>
      </c>
      <c r="C12" s="24" t="s">
        <v>2151</v>
      </c>
      <c r="D12" s="228" t="s">
        <v>847</v>
      </c>
      <c r="E12" s="48">
        <v>85.02</v>
      </c>
      <c r="F12" s="48">
        <v>14.4</v>
      </c>
      <c r="G12" s="48">
        <f t="shared" si="0"/>
        <v>1224.288</v>
      </c>
      <c r="H12" s="48">
        <f>(G12+G13)*'Тарифные ставки'!$B$13</f>
        <v>6317.32608</v>
      </c>
      <c r="I12" s="48">
        <f>H12*'Тарифные ставки'!$B$14*'Тарифные ставки'!$B$15</f>
        <v>7656.5992089599995</v>
      </c>
      <c r="J12" s="102">
        <f t="shared" si="1"/>
        <v>1250.83056384</v>
      </c>
      <c r="K12" s="13"/>
      <c r="L12" s="13"/>
    </row>
    <row r="13" spans="1:12" ht="15.75" hidden="1">
      <c r="A13" s="45"/>
      <c r="B13" s="52"/>
      <c r="C13" s="45"/>
      <c r="D13" s="233" t="s">
        <v>847</v>
      </c>
      <c r="E13" s="48">
        <v>85.02</v>
      </c>
      <c r="F13" s="44">
        <v>14.4</v>
      </c>
      <c r="G13" s="44">
        <f t="shared" si="0"/>
        <v>1224.288</v>
      </c>
      <c r="H13" s="44"/>
      <c r="I13" s="44"/>
      <c r="J13" s="24">
        <f t="shared" si="1"/>
        <v>0</v>
      </c>
      <c r="K13" s="13"/>
      <c r="L13" s="13"/>
    </row>
    <row r="14" spans="1:12" ht="15.75" hidden="1">
      <c r="A14" s="685" t="s">
        <v>2155</v>
      </c>
      <c r="B14" s="680" t="s">
        <v>1374</v>
      </c>
      <c r="C14" s="687" t="s">
        <v>2151</v>
      </c>
      <c r="D14" s="228" t="s">
        <v>847</v>
      </c>
      <c r="E14" s="48">
        <v>85.02</v>
      </c>
      <c r="F14" s="252">
        <v>16.2</v>
      </c>
      <c r="G14" s="48">
        <f t="shared" si="0"/>
        <v>1377.3239999999998</v>
      </c>
      <c r="H14" s="253">
        <f>(G14+G15)*'Тарифные ставки'!$B$13</f>
        <v>7106.99184</v>
      </c>
      <c r="I14" s="48">
        <f>H14*'Тарифные ставки'!$B$14*'Тарифные ставки'!$B$15</f>
        <v>8613.674110079999</v>
      </c>
      <c r="J14" s="45">
        <f t="shared" si="1"/>
        <v>1407.1843843200002</v>
      </c>
      <c r="K14" s="13"/>
      <c r="L14" s="13"/>
    </row>
    <row r="15" spans="1:12" ht="15.75" hidden="1">
      <c r="A15" s="686"/>
      <c r="B15" s="681"/>
      <c r="C15" s="617"/>
      <c r="D15" s="233" t="s">
        <v>847</v>
      </c>
      <c r="E15" s="48">
        <v>85.02</v>
      </c>
      <c r="F15" s="184">
        <v>16.2</v>
      </c>
      <c r="G15" s="47">
        <f t="shared" si="0"/>
        <v>1377.3239999999998</v>
      </c>
      <c r="H15" s="251"/>
      <c r="I15" s="47"/>
      <c r="J15" s="102">
        <f t="shared" si="1"/>
        <v>0</v>
      </c>
      <c r="K15" s="13"/>
      <c r="L15" s="13"/>
    </row>
    <row r="16" spans="1:12" s="22" customFormat="1" ht="45" customHeight="1" hidden="1">
      <c r="A16" s="682" t="s">
        <v>1375</v>
      </c>
      <c r="B16" s="683"/>
      <c r="C16" s="683"/>
      <c r="D16" s="683"/>
      <c r="E16" s="683"/>
      <c r="F16" s="683"/>
      <c r="G16" s="683"/>
      <c r="H16" s="683"/>
      <c r="I16" s="683"/>
      <c r="J16" s="102">
        <f t="shared" si="1"/>
        <v>0</v>
      </c>
      <c r="K16" s="13"/>
      <c r="L16" s="13"/>
    </row>
    <row r="17" spans="1:12" ht="31.5" hidden="1">
      <c r="A17" s="24" t="s">
        <v>2156</v>
      </c>
      <c r="B17" s="31" t="s">
        <v>2157</v>
      </c>
      <c r="C17" s="24" t="s">
        <v>2158</v>
      </c>
      <c r="D17" s="256" t="s">
        <v>847</v>
      </c>
      <c r="E17" s="48">
        <v>85.02</v>
      </c>
      <c r="F17" s="103">
        <v>2.25</v>
      </c>
      <c r="G17" s="103">
        <f>E17*F17</f>
        <v>191.295</v>
      </c>
      <c r="H17" s="104">
        <f>G17*'Тарифные ставки'!$B$13</f>
        <v>493.5411</v>
      </c>
      <c r="I17" s="104">
        <f>H17*'Тарифные ставки'!$B$14*'Тарифные ставки'!$B$15</f>
        <v>598.1718132</v>
      </c>
      <c r="J17" s="104">
        <f t="shared" si="1"/>
        <v>97.7211378</v>
      </c>
      <c r="K17" s="13"/>
      <c r="L17" s="13"/>
    </row>
    <row r="18" spans="1:12" ht="15.75">
      <c r="A18" s="60" t="s">
        <v>2159</v>
      </c>
      <c r="B18" s="61" t="s">
        <v>2160</v>
      </c>
      <c r="C18" s="60" t="s">
        <v>2158</v>
      </c>
      <c r="D18" s="254" t="s">
        <v>847</v>
      </c>
      <c r="E18" s="55">
        <f>'Тарифные ставки'!$B$8</f>
        <v>148.16025</v>
      </c>
      <c r="F18" s="101">
        <v>9.9</v>
      </c>
      <c r="G18" s="101">
        <f>E18*F18</f>
        <v>1466.7864749999999</v>
      </c>
      <c r="H18" s="102">
        <f>G18*'Тарифные ставки'!$B$13</f>
        <v>3784.3091055</v>
      </c>
      <c r="I18" s="400">
        <f>H18*'Тарифные ставки'!$B$14*'Тарифные ставки'!$B$15</f>
        <v>4586.582635866</v>
      </c>
      <c r="J18" s="493">
        <f>I18-I18/'Тарифные ставки'!$B$15</f>
        <v>764.4304393109996</v>
      </c>
      <c r="K18" s="102">
        <v>4283.190697499999</v>
      </c>
      <c r="L18" s="498">
        <f>I18/K18*100-100</f>
        <v>7.083316148942046</v>
      </c>
    </row>
    <row r="19" spans="1:12" ht="15.75" hidden="1">
      <c r="A19" s="100" t="s">
        <v>2161</v>
      </c>
      <c r="B19" s="51" t="s">
        <v>2162</v>
      </c>
      <c r="C19" s="267" t="s">
        <v>2158</v>
      </c>
      <c r="D19" s="265" t="s">
        <v>847</v>
      </c>
      <c r="E19" s="44">
        <v>85.02</v>
      </c>
      <c r="F19" s="266">
        <v>6.4</v>
      </c>
      <c r="G19" s="150">
        <f>E19*F19</f>
        <v>544.128</v>
      </c>
      <c r="H19" s="150">
        <f>(G19+G20)*'Тарифные ставки'!$B$13</f>
        <v>2807.7004800000004</v>
      </c>
      <c r="I19" s="150">
        <f>H19*'Тарифные ставки'!$B$14*'Тарифные ставки'!$B$15</f>
        <v>3402.9329817600005</v>
      </c>
      <c r="J19" s="106"/>
      <c r="K19" s="150">
        <v>5537.862720000001</v>
      </c>
      <c r="L19" s="13"/>
    </row>
    <row r="20" spans="1:12" ht="15.75" hidden="1">
      <c r="A20" s="45"/>
      <c r="B20" s="52"/>
      <c r="C20" s="218"/>
      <c r="D20" s="257" t="s">
        <v>847</v>
      </c>
      <c r="E20" s="48">
        <v>85.02</v>
      </c>
      <c r="F20" s="255">
        <v>6.4</v>
      </c>
      <c r="G20" s="106">
        <f aca="true" t="shared" si="2" ref="G20:G68">E20*F20</f>
        <v>544.128</v>
      </c>
      <c r="H20" s="106"/>
      <c r="I20" s="106"/>
      <c r="J20" s="102"/>
      <c r="K20" s="150"/>
      <c r="L20" s="13"/>
    </row>
    <row r="21" spans="1:12" ht="15.75" hidden="1">
      <c r="A21" s="60" t="s">
        <v>2163</v>
      </c>
      <c r="B21" s="61" t="s">
        <v>1376</v>
      </c>
      <c r="C21" s="60" t="s">
        <v>2151</v>
      </c>
      <c r="D21" s="254" t="s">
        <v>847</v>
      </c>
      <c r="E21" s="48">
        <v>85.02</v>
      </c>
      <c r="F21" s="101">
        <v>9.4</v>
      </c>
      <c r="G21" s="101">
        <f t="shared" si="2"/>
        <v>799.188</v>
      </c>
      <c r="H21" s="102">
        <f>G21*'Тарифные ставки'!$B$13</f>
        <v>2061.90504</v>
      </c>
      <c r="I21" s="102">
        <f>H21*'Тарифные ставки'!$B$14*'Тарифные ставки'!$B$15</f>
        <v>2499.02890848</v>
      </c>
      <c r="J21" s="24"/>
      <c r="K21" s="150">
        <v>4066.8679349999998</v>
      </c>
      <c r="L21" s="13"/>
    </row>
    <row r="22" spans="1:12" ht="15.75" hidden="1">
      <c r="A22" s="60" t="s">
        <v>2164</v>
      </c>
      <c r="B22" s="61" t="s">
        <v>2165</v>
      </c>
      <c r="C22" s="60" t="s">
        <v>2151</v>
      </c>
      <c r="D22" s="254" t="s">
        <v>847</v>
      </c>
      <c r="E22" s="48">
        <v>85.02</v>
      </c>
      <c r="F22" s="101">
        <v>12.7</v>
      </c>
      <c r="G22" s="101">
        <f t="shared" si="2"/>
        <v>1079.754</v>
      </c>
      <c r="H22" s="102">
        <f>G22*'Тарифные ставки'!$B$13</f>
        <v>2785.76532</v>
      </c>
      <c r="I22" s="102">
        <f>H22*'Тарифные ставки'!$B$14*'Тарифные ставки'!$B$15</f>
        <v>3376.34756784</v>
      </c>
      <c r="J22" s="45"/>
      <c r="K22" s="150">
        <v>5494.598167499999</v>
      </c>
      <c r="L22" s="13"/>
    </row>
    <row r="23" spans="1:12" ht="15.75" hidden="1">
      <c r="A23" s="60" t="s">
        <v>2166</v>
      </c>
      <c r="B23" s="61" t="s">
        <v>2167</v>
      </c>
      <c r="C23" s="60" t="s">
        <v>2168</v>
      </c>
      <c r="D23" s="254" t="s">
        <v>847</v>
      </c>
      <c r="E23" s="48">
        <v>85.02</v>
      </c>
      <c r="F23" s="101">
        <v>9</v>
      </c>
      <c r="G23" s="101">
        <f t="shared" si="2"/>
        <v>765.18</v>
      </c>
      <c r="H23" s="102">
        <f>G23*'Тарифные ставки'!$B$13</f>
        <v>1974.1644</v>
      </c>
      <c r="I23" s="102">
        <f>H23*'Тарифные ставки'!$B$14*'Тарифные ставки'!$B$15</f>
        <v>2392.6872528</v>
      </c>
      <c r="J23" s="102"/>
      <c r="K23" s="150">
        <v>3893.8097249999996</v>
      </c>
      <c r="L23" s="13"/>
    </row>
    <row r="24" spans="1:12" ht="31.5" hidden="1">
      <c r="A24" s="60" t="s">
        <v>2169</v>
      </c>
      <c r="B24" s="61" t="s">
        <v>2170</v>
      </c>
      <c r="C24" s="60" t="s">
        <v>487</v>
      </c>
      <c r="D24" s="254" t="s">
        <v>847</v>
      </c>
      <c r="E24" s="48">
        <v>85.02</v>
      </c>
      <c r="F24" s="101">
        <v>12</v>
      </c>
      <c r="G24" s="101">
        <f t="shared" si="2"/>
        <v>1020.24</v>
      </c>
      <c r="H24" s="102">
        <f>G24*'Тарифные ставки'!$B$13</f>
        <v>2632.2192</v>
      </c>
      <c r="I24" s="102">
        <f>H24*'Тарифные ставки'!$B$14*'Тарифные ставки'!$B$15</f>
        <v>3190.2496704</v>
      </c>
      <c r="J24" s="102"/>
      <c r="K24" s="150">
        <v>5191.746300000001</v>
      </c>
      <c r="L24" s="13"/>
    </row>
    <row r="25" spans="1:12" ht="31.5" hidden="1">
      <c r="A25" s="60" t="s">
        <v>2171</v>
      </c>
      <c r="B25" s="61" t="s">
        <v>1674</v>
      </c>
      <c r="C25" s="60" t="s">
        <v>1675</v>
      </c>
      <c r="D25" s="256" t="s">
        <v>847</v>
      </c>
      <c r="E25" s="48">
        <v>85.02</v>
      </c>
      <c r="F25" s="101">
        <v>2</v>
      </c>
      <c r="G25" s="101">
        <f t="shared" si="2"/>
        <v>170.04</v>
      </c>
      <c r="H25" s="102">
        <f>G25*'Тарифные ставки'!$B$13</f>
        <v>438.7032</v>
      </c>
      <c r="I25" s="102">
        <f>H25*'Тарифные ставки'!$B$14*'Тарифные ставки'!$B$15</f>
        <v>531.7082783999999</v>
      </c>
      <c r="J25" s="102"/>
      <c r="K25" s="150">
        <v>865.2910499999999</v>
      </c>
      <c r="L25" s="13"/>
    </row>
    <row r="26" spans="1:12" ht="31.5" hidden="1">
      <c r="A26" s="94" t="s">
        <v>1676</v>
      </c>
      <c r="B26" s="31" t="s">
        <v>1377</v>
      </c>
      <c r="C26" s="173" t="s">
        <v>1677</v>
      </c>
      <c r="D26" s="256" t="s">
        <v>847</v>
      </c>
      <c r="E26" s="48">
        <v>85.02</v>
      </c>
      <c r="F26" s="174">
        <v>3</v>
      </c>
      <c r="G26" s="104">
        <f t="shared" si="2"/>
        <v>255.06</v>
      </c>
      <c r="H26" s="104">
        <f>(G26+G27)*'Тарифные ставки'!$B$13</f>
        <v>7677.306</v>
      </c>
      <c r="I26" s="104">
        <f>H26*'Тарифные ставки'!$B$14*'Тарифные ставки'!$B$15</f>
        <v>9304.894871999999</v>
      </c>
      <c r="J26" s="102"/>
      <c r="K26" s="150">
        <v>15142.593374999999</v>
      </c>
      <c r="L26" s="13"/>
    </row>
    <row r="27" spans="1:12" ht="15.75" hidden="1">
      <c r="A27" s="45"/>
      <c r="B27" s="52"/>
      <c r="C27" s="218"/>
      <c r="D27" s="257" t="s">
        <v>847</v>
      </c>
      <c r="E27" s="48">
        <v>85.02</v>
      </c>
      <c r="F27" s="255">
        <v>32</v>
      </c>
      <c r="G27" s="106">
        <f t="shared" si="2"/>
        <v>2720.64</v>
      </c>
      <c r="H27" s="106"/>
      <c r="I27" s="106"/>
      <c r="J27" s="102"/>
      <c r="K27" s="150"/>
      <c r="L27" s="13"/>
    </row>
    <row r="28" spans="1:12" ht="31.5" hidden="1">
      <c r="A28" s="60" t="s">
        <v>1678</v>
      </c>
      <c r="B28" s="61" t="s">
        <v>1378</v>
      </c>
      <c r="C28" s="60" t="s">
        <v>1679</v>
      </c>
      <c r="D28" s="254" t="s">
        <v>847</v>
      </c>
      <c r="E28" s="48">
        <v>85.02</v>
      </c>
      <c r="F28" s="101">
        <v>5.33</v>
      </c>
      <c r="G28" s="101">
        <f t="shared" si="2"/>
        <v>453.15659999999997</v>
      </c>
      <c r="H28" s="102">
        <f>G28*'Тарифные ставки'!$B$13</f>
        <v>1169.144028</v>
      </c>
      <c r="I28" s="102">
        <f>H28*'Тарифные ставки'!$B$14*'Тарифные ставки'!$B$15</f>
        <v>1417.002561936</v>
      </c>
      <c r="J28" s="102"/>
      <c r="K28" s="150">
        <v>2306.00064825</v>
      </c>
      <c r="L28" s="13"/>
    </row>
    <row r="29" spans="1:12" ht="31.5" hidden="1">
      <c r="A29" s="60" t="s">
        <v>1680</v>
      </c>
      <c r="B29" s="61" t="s">
        <v>1681</v>
      </c>
      <c r="C29" s="60" t="s">
        <v>1679</v>
      </c>
      <c r="D29" s="254" t="s">
        <v>847</v>
      </c>
      <c r="E29" s="48">
        <v>85.02</v>
      </c>
      <c r="F29" s="101">
        <v>3.6</v>
      </c>
      <c r="G29" s="101">
        <f t="shared" si="2"/>
        <v>306.072</v>
      </c>
      <c r="H29" s="102">
        <f>G29*'Тарифные ставки'!$B$13</f>
        <v>789.66576</v>
      </c>
      <c r="I29" s="102">
        <f>H29*'Тарифные ставки'!$B$14*'Тарифные ставки'!$B$15</f>
        <v>957.0749011199999</v>
      </c>
      <c r="J29" s="102"/>
      <c r="K29" s="150">
        <v>1557.52389</v>
      </c>
      <c r="L29" s="13"/>
    </row>
    <row r="30" spans="1:12" ht="15.75" hidden="1">
      <c r="A30" s="60" t="s">
        <v>1682</v>
      </c>
      <c r="B30" s="61" t="s">
        <v>1683</v>
      </c>
      <c r="C30" s="60" t="s">
        <v>1441</v>
      </c>
      <c r="D30" s="254" t="s">
        <v>847</v>
      </c>
      <c r="E30" s="48">
        <v>85.02</v>
      </c>
      <c r="F30" s="101">
        <v>3</v>
      </c>
      <c r="G30" s="101">
        <f t="shared" si="2"/>
        <v>255.06</v>
      </c>
      <c r="H30" s="102">
        <f>G30*'Тарифные ставки'!$B$13</f>
        <v>658.0548</v>
      </c>
      <c r="I30" s="102">
        <f>H30*'Тарифные ставки'!$B$14*'Тарифные ставки'!$B$15</f>
        <v>797.5624176</v>
      </c>
      <c r="J30" s="102"/>
      <c r="K30" s="150">
        <v>1297.9365750000002</v>
      </c>
      <c r="L30" s="13"/>
    </row>
    <row r="31" spans="1:12" ht="47.25" hidden="1">
      <c r="A31" s="60" t="s">
        <v>1684</v>
      </c>
      <c r="B31" s="61" t="s">
        <v>1379</v>
      </c>
      <c r="C31" s="60" t="s">
        <v>1685</v>
      </c>
      <c r="D31" s="254" t="s">
        <v>847</v>
      </c>
      <c r="E31" s="48">
        <v>85.02</v>
      </c>
      <c r="F31" s="101">
        <v>6</v>
      </c>
      <c r="G31" s="101">
        <f t="shared" si="2"/>
        <v>510.12</v>
      </c>
      <c r="H31" s="102">
        <f>G31*'Тарифные ставки'!$B$13</f>
        <v>1316.1096</v>
      </c>
      <c r="I31" s="102">
        <f>H31*'Тарифные ставки'!$B$14*'Тарифные ставки'!$B$15</f>
        <v>1595.1248352</v>
      </c>
      <c r="J31" s="24"/>
      <c r="K31" s="150">
        <v>2595.8731500000004</v>
      </c>
      <c r="L31" s="13"/>
    </row>
    <row r="32" spans="1:12" ht="31.5" hidden="1">
      <c r="A32" s="60" t="s">
        <v>1686</v>
      </c>
      <c r="B32" s="61" t="s">
        <v>1687</v>
      </c>
      <c r="C32" s="60" t="s">
        <v>2151</v>
      </c>
      <c r="D32" s="254" t="s">
        <v>847</v>
      </c>
      <c r="E32" s="48">
        <v>85.02</v>
      </c>
      <c r="F32" s="101">
        <v>4.64</v>
      </c>
      <c r="G32" s="101">
        <f t="shared" si="2"/>
        <v>394.49279999999993</v>
      </c>
      <c r="H32" s="102">
        <f>G32*'Тарифные ставки'!$B$13</f>
        <v>1017.7914239999999</v>
      </c>
      <c r="I32" s="102">
        <f>H32*'Тарифные ставки'!$B$14*'Тарифные ставки'!$B$15</f>
        <v>1233.5632058879999</v>
      </c>
      <c r="J32" s="45"/>
      <c r="K32" s="150">
        <v>2007.4752359999995</v>
      </c>
      <c r="L32" s="13"/>
    </row>
    <row r="33" spans="1:12" ht="31.5" hidden="1">
      <c r="A33" s="60" t="s">
        <v>1688</v>
      </c>
      <c r="B33" s="61" t="s">
        <v>1689</v>
      </c>
      <c r="C33" s="60" t="s">
        <v>2151</v>
      </c>
      <c r="D33" s="256" t="s">
        <v>847</v>
      </c>
      <c r="E33" s="48">
        <v>85.02</v>
      </c>
      <c r="F33" s="101">
        <v>4.2</v>
      </c>
      <c r="G33" s="101">
        <f t="shared" si="2"/>
        <v>357.084</v>
      </c>
      <c r="H33" s="102">
        <f>G33*'Тарифные ставки'!$B$13</f>
        <v>921.2767200000001</v>
      </c>
      <c r="I33" s="102">
        <f>H33*'Тарифные ставки'!$B$14*'Тарифные ставки'!$B$15</f>
        <v>1116.58738464</v>
      </c>
      <c r="J33" s="24"/>
      <c r="K33" s="150">
        <v>1817.1112050000002</v>
      </c>
      <c r="L33" s="13"/>
    </row>
    <row r="34" spans="1:12" ht="31.5" hidden="1">
      <c r="A34" s="94" t="s">
        <v>1690</v>
      </c>
      <c r="B34" s="31" t="s">
        <v>1691</v>
      </c>
      <c r="C34" s="173" t="s">
        <v>1677</v>
      </c>
      <c r="D34" s="256" t="s">
        <v>847</v>
      </c>
      <c r="E34" s="48">
        <v>85.02</v>
      </c>
      <c r="F34" s="174">
        <v>1.52</v>
      </c>
      <c r="G34" s="104">
        <f t="shared" si="2"/>
        <v>129.2304</v>
      </c>
      <c r="H34" s="104">
        <f>(G34+G35)*'Тарифные ставки'!$B$13</f>
        <v>666.8288640000001</v>
      </c>
      <c r="I34" s="104">
        <f>H34*'Тарифные ставки'!$B$14*'Тарифные ставки'!$B$15</f>
        <v>808.1965831680001</v>
      </c>
      <c r="J34" s="45"/>
      <c r="K34" s="150">
        <v>1315.2423959999999</v>
      </c>
      <c r="L34" s="13"/>
    </row>
    <row r="35" spans="1:12" ht="15.75" hidden="1">
      <c r="A35" s="45"/>
      <c r="B35" s="52"/>
      <c r="C35" s="218"/>
      <c r="D35" s="257" t="s">
        <v>847</v>
      </c>
      <c r="E35" s="48">
        <v>85.02</v>
      </c>
      <c r="F35" s="255">
        <v>1.52</v>
      </c>
      <c r="G35" s="106">
        <f t="shared" si="2"/>
        <v>129.2304</v>
      </c>
      <c r="H35" s="106"/>
      <c r="I35" s="106"/>
      <c r="J35" s="24"/>
      <c r="K35" s="150"/>
      <c r="L35" s="13"/>
    </row>
    <row r="36" spans="1:12" ht="15.75" hidden="1">
      <c r="A36" s="60" t="s">
        <v>1692</v>
      </c>
      <c r="B36" s="61" t="s">
        <v>1380</v>
      </c>
      <c r="C36" s="60" t="s">
        <v>487</v>
      </c>
      <c r="D36" s="294" t="s">
        <v>48</v>
      </c>
      <c r="E36" s="101">
        <v>208.96</v>
      </c>
      <c r="F36" s="101">
        <v>0.4</v>
      </c>
      <c r="G36" s="101">
        <f t="shared" si="2"/>
        <v>83.584</v>
      </c>
      <c r="H36" s="102">
        <f>G36*'Тарифные ставки'!$B$13</f>
        <v>215.64672000000002</v>
      </c>
      <c r="I36" s="102">
        <f>H36*'Тарифные ставки'!$B$14*'Тарифные ставки'!$B$15</f>
        <v>261.36382464</v>
      </c>
      <c r="J36" s="45"/>
      <c r="K36" s="150">
        <v>425.33808</v>
      </c>
      <c r="L36" s="13"/>
    </row>
    <row r="37" spans="1:12" ht="15.75" hidden="1">
      <c r="A37" s="60" t="s">
        <v>1693</v>
      </c>
      <c r="B37" s="61" t="s">
        <v>1381</v>
      </c>
      <c r="C37" s="60" t="s">
        <v>1696</v>
      </c>
      <c r="D37" s="294" t="s">
        <v>48</v>
      </c>
      <c r="E37" s="101">
        <v>208.96</v>
      </c>
      <c r="F37" s="101">
        <v>1.4</v>
      </c>
      <c r="G37" s="101">
        <f t="shared" si="2"/>
        <v>292.544</v>
      </c>
      <c r="H37" s="102">
        <f>G37*'Тарифные ставки'!$B$13</f>
        <v>754.76352</v>
      </c>
      <c r="I37" s="102">
        <f>H37*'Тарифные ставки'!$B$14*'Тарифные ставки'!$B$15</f>
        <v>914.77338624</v>
      </c>
      <c r="J37" s="24"/>
      <c r="K37" s="150">
        <v>1488.68328</v>
      </c>
      <c r="L37" s="13"/>
    </row>
    <row r="38" spans="1:12" ht="15.75" hidden="1">
      <c r="A38" s="60" t="s">
        <v>1694</v>
      </c>
      <c r="B38" s="61" t="s">
        <v>1382</v>
      </c>
      <c r="C38" s="60" t="s">
        <v>1697</v>
      </c>
      <c r="D38" s="294" t="s">
        <v>48</v>
      </c>
      <c r="E38" s="101">
        <v>208.96</v>
      </c>
      <c r="F38" s="101">
        <v>8</v>
      </c>
      <c r="G38" s="101">
        <f t="shared" si="2"/>
        <v>1671.68</v>
      </c>
      <c r="H38" s="102">
        <f>G38*'Тарифные ставки'!$B$13</f>
        <v>4312.9344</v>
      </c>
      <c r="I38" s="102">
        <f>H38*'Тарифные ставки'!$B$14*'Тарифные ставки'!$B$15</f>
        <v>5227.2764928</v>
      </c>
      <c r="J38" s="45"/>
      <c r="K38" s="150">
        <v>8506.7616</v>
      </c>
      <c r="L38" s="13"/>
    </row>
    <row r="39" spans="1:12" ht="31.5" hidden="1">
      <c r="A39" s="24" t="s">
        <v>1695</v>
      </c>
      <c r="B39" s="502" t="s">
        <v>1383</v>
      </c>
      <c r="C39" s="369" t="s">
        <v>169</v>
      </c>
      <c r="D39" s="503" t="s">
        <v>48</v>
      </c>
      <c r="E39" s="504">
        <v>208.96</v>
      </c>
      <c r="F39" s="504">
        <v>2.88</v>
      </c>
      <c r="G39" s="504">
        <f t="shared" si="2"/>
        <v>601.8048</v>
      </c>
      <c r="H39" s="505">
        <f>G39*'Тарифные ставки'!$B$13</f>
        <v>1552.6563840000001</v>
      </c>
      <c r="I39" s="505">
        <f>H39*'Тарифные ставки'!$B$14*'Тарифные ставки'!$B$15</f>
        <v>1881.819537408</v>
      </c>
      <c r="J39" s="24"/>
      <c r="K39" s="150">
        <v>3062.4341759999998</v>
      </c>
      <c r="L39" s="13"/>
    </row>
    <row r="40" spans="1:12" ht="67.5" customHeight="1">
      <c r="A40" s="60" t="s">
        <v>1698</v>
      </c>
      <c r="B40" s="61" t="s">
        <v>1462</v>
      </c>
      <c r="C40" s="60" t="s">
        <v>1685</v>
      </c>
      <c r="D40" s="254" t="s">
        <v>847</v>
      </c>
      <c r="E40" s="55">
        <f>'Тарифные ставки'!$B$8</f>
        <v>148.16025</v>
      </c>
      <c r="F40" s="101">
        <f>0.93+0.94</f>
        <v>1.87</v>
      </c>
      <c r="G40" s="101">
        <f t="shared" si="2"/>
        <v>277.0596675</v>
      </c>
      <c r="H40" s="102">
        <f>G40*'Тарифные ставки'!$B$13</f>
        <v>714.81394215</v>
      </c>
      <c r="I40" s="102">
        <f>H40*'Тарифные ставки'!$B$14*'Тарифные ставки'!$B$15</f>
        <v>866.3544978858</v>
      </c>
      <c r="J40" s="493">
        <f>I40-I40/'Тарифные ставки'!$B$15</f>
        <v>144.39241631430002</v>
      </c>
      <c r="K40" s="102">
        <v>809.0471317500002</v>
      </c>
      <c r="L40" s="498">
        <f>I40/K40*100-100</f>
        <v>7.083316148942004</v>
      </c>
    </row>
    <row r="41" spans="1:12" ht="47.25" hidden="1">
      <c r="A41" s="45" t="s">
        <v>1699</v>
      </c>
      <c r="B41" s="52" t="s">
        <v>1384</v>
      </c>
      <c r="C41" s="45" t="s">
        <v>1685</v>
      </c>
      <c r="D41" s="257" t="s">
        <v>847</v>
      </c>
      <c r="E41" s="44">
        <v>85.02</v>
      </c>
      <c r="F41" s="105">
        <v>4.61</v>
      </c>
      <c r="G41" s="105">
        <f t="shared" si="2"/>
        <v>391.9422</v>
      </c>
      <c r="H41" s="106">
        <f>G41*'Тарифные ставки'!$B$13</f>
        <v>1011.2108760000001</v>
      </c>
      <c r="I41" s="106">
        <f>H41*'Тарифные ставки'!$B$14*'Тарифные ставки'!$B$15</f>
        <v>1225.587581712</v>
      </c>
      <c r="J41" s="106"/>
      <c r="K41" s="150">
        <v>1994.4958702500003</v>
      </c>
      <c r="L41" s="13"/>
    </row>
    <row r="42" spans="1:12" ht="47.25" hidden="1">
      <c r="A42" s="60" t="s">
        <v>597</v>
      </c>
      <c r="B42" s="61" t="s">
        <v>596</v>
      </c>
      <c r="C42" s="60" t="s">
        <v>1685</v>
      </c>
      <c r="D42" s="254" t="s">
        <v>847</v>
      </c>
      <c r="E42" s="48">
        <v>85.02</v>
      </c>
      <c r="F42" s="101">
        <v>5.48</v>
      </c>
      <c r="G42" s="101">
        <f t="shared" si="2"/>
        <v>465.9096</v>
      </c>
      <c r="H42" s="102">
        <f>G42*'Тарифные ставки'!$B$13</f>
        <v>1202.0467680000002</v>
      </c>
      <c r="I42" s="102">
        <f>H42*'Тарифные ставки'!$B$14*'Тарифные ставки'!$B$15</f>
        <v>1456.880682816</v>
      </c>
      <c r="J42" s="102"/>
      <c r="K42" s="150">
        <v>2370.897477</v>
      </c>
      <c r="L42" s="13"/>
    </row>
    <row r="43" spans="1:12" ht="15.75" hidden="1">
      <c r="A43" s="60" t="s">
        <v>598</v>
      </c>
      <c r="B43" s="61" t="s">
        <v>599</v>
      </c>
      <c r="C43" s="60" t="s">
        <v>1685</v>
      </c>
      <c r="D43" s="254" t="s">
        <v>847</v>
      </c>
      <c r="E43" s="48">
        <v>85.02</v>
      </c>
      <c r="F43" s="101">
        <v>2.74</v>
      </c>
      <c r="G43" s="101">
        <f t="shared" si="2"/>
        <v>232.9548</v>
      </c>
      <c r="H43" s="102">
        <f>G43*'Тарифные ставки'!$B$13</f>
        <v>601.0233840000001</v>
      </c>
      <c r="I43" s="102">
        <f>H43*'Тарифные ставки'!$B$14*'Тарифные ставки'!$B$15</f>
        <v>728.440341408</v>
      </c>
      <c r="J43" s="102"/>
      <c r="K43" s="150">
        <v>1185.4487385</v>
      </c>
      <c r="L43" s="13"/>
    </row>
    <row r="44" spans="1:12" ht="15.75" hidden="1">
      <c r="A44" s="107" t="s">
        <v>600</v>
      </c>
      <c r="B44" s="652" t="s">
        <v>601</v>
      </c>
      <c r="C44" s="94" t="s">
        <v>487</v>
      </c>
      <c r="D44" s="256" t="s">
        <v>848</v>
      </c>
      <c r="E44" s="103">
        <v>85.02</v>
      </c>
      <c r="F44" s="103">
        <v>1.3</v>
      </c>
      <c r="G44" s="104">
        <f t="shared" si="2"/>
        <v>110.526</v>
      </c>
      <c r="H44" s="104">
        <f>(G44+G45)*'Тарифные ставки'!$B$13</f>
        <v>570.31416</v>
      </c>
      <c r="I44" s="104">
        <f>H44*'Тарифные ставки'!$B$14*'Тарифные ставки'!$B$15</f>
        <v>691.22076192</v>
      </c>
      <c r="J44" s="24"/>
      <c r="K44" s="150">
        <v>1124.878365</v>
      </c>
      <c r="L44" s="13"/>
    </row>
    <row r="45" spans="1:12" ht="15.75" hidden="1">
      <c r="A45" s="45"/>
      <c r="B45" s="653"/>
      <c r="C45" s="45"/>
      <c r="D45" s="257" t="s">
        <v>847</v>
      </c>
      <c r="E45" s="48">
        <v>85.02</v>
      </c>
      <c r="F45" s="105">
        <v>1.3</v>
      </c>
      <c r="G45" s="106">
        <f t="shared" si="2"/>
        <v>110.526</v>
      </c>
      <c r="H45" s="106"/>
      <c r="I45" s="106"/>
      <c r="J45" s="45"/>
      <c r="K45" s="150"/>
      <c r="L45" s="13"/>
    </row>
    <row r="46" spans="1:12" ht="15.75" hidden="1">
      <c r="A46" s="107" t="s">
        <v>602</v>
      </c>
      <c r="B46" s="631" t="s">
        <v>603</v>
      </c>
      <c r="C46" s="94" t="s">
        <v>487</v>
      </c>
      <c r="D46" s="256" t="s">
        <v>848</v>
      </c>
      <c r="E46" s="103">
        <v>85.02</v>
      </c>
      <c r="F46" s="103">
        <v>3</v>
      </c>
      <c r="G46" s="104">
        <f aca="true" t="shared" si="3" ref="G46:G55">E46*F46</f>
        <v>255.06</v>
      </c>
      <c r="H46" s="104">
        <f>(G46+G47)*'Тарифные ставки'!$B$13</f>
        <v>1316.1096</v>
      </c>
      <c r="I46" s="104">
        <f>H46*'Тарифные ставки'!$B$14*'Тарифные ставки'!$B$15</f>
        <v>1595.1248352</v>
      </c>
      <c r="J46" s="24"/>
      <c r="K46" s="150">
        <v>2595.8731500000004</v>
      </c>
      <c r="L46" s="13"/>
    </row>
    <row r="47" spans="1:12" ht="15.75" hidden="1">
      <c r="A47" s="45"/>
      <c r="B47" s="632"/>
      <c r="C47" s="45"/>
      <c r="D47" s="257" t="s">
        <v>847</v>
      </c>
      <c r="E47" s="48">
        <v>85.02</v>
      </c>
      <c r="F47" s="105">
        <f>F46</f>
        <v>3</v>
      </c>
      <c r="G47" s="106">
        <f t="shared" si="3"/>
        <v>255.06</v>
      </c>
      <c r="H47" s="106"/>
      <c r="I47" s="106"/>
      <c r="J47" s="45"/>
      <c r="K47" s="150"/>
      <c r="L47" s="13"/>
    </row>
    <row r="48" spans="1:12" ht="15.75" hidden="1">
      <c r="A48" s="107" t="s">
        <v>604</v>
      </c>
      <c r="B48" s="652" t="s">
        <v>605</v>
      </c>
      <c r="C48" s="94" t="s">
        <v>606</v>
      </c>
      <c r="D48" s="256" t="s">
        <v>848</v>
      </c>
      <c r="E48" s="103">
        <v>85.02</v>
      </c>
      <c r="F48" s="103">
        <v>2.5</v>
      </c>
      <c r="G48" s="104">
        <f t="shared" si="3"/>
        <v>212.54999999999998</v>
      </c>
      <c r="H48" s="104">
        <f>(G48+G49)*'Тарифные ставки'!$B$13</f>
        <v>1096.758</v>
      </c>
      <c r="I48" s="104">
        <f>H48*'Тарифные ставки'!$B$14*'Тарифные ставки'!$B$15</f>
        <v>1329.270696</v>
      </c>
      <c r="J48" s="24"/>
      <c r="K48" s="150">
        <v>2163.227625</v>
      </c>
      <c r="L48" s="13"/>
    </row>
    <row r="49" spans="1:12" ht="15.75" hidden="1">
      <c r="A49" s="45"/>
      <c r="B49" s="653"/>
      <c r="C49" s="45"/>
      <c r="D49" s="257" t="s">
        <v>847</v>
      </c>
      <c r="E49" s="48">
        <v>85.02</v>
      </c>
      <c r="F49" s="105">
        <f>F48</f>
        <v>2.5</v>
      </c>
      <c r="G49" s="106">
        <f t="shared" si="3"/>
        <v>212.54999999999998</v>
      </c>
      <c r="H49" s="106"/>
      <c r="I49" s="106"/>
      <c r="J49" s="45"/>
      <c r="K49" s="150"/>
      <c r="L49" s="13"/>
    </row>
    <row r="50" spans="1:12" ht="15.75" hidden="1">
      <c r="A50" s="107" t="s">
        <v>607</v>
      </c>
      <c r="B50" s="652" t="s">
        <v>608</v>
      </c>
      <c r="C50" s="94" t="s">
        <v>606</v>
      </c>
      <c r="D50" s="256" t="s">
        <v>848</v>
      </c>
      <c r="E50" s="103">
        <v>85.02</v>
      </c>
      <c r="F50" s="103">
        <v>8</v>
      </c>
      <c r="G50" s="104">
        <f t="shared" si="3"/>
        <v>680.16</v>
      </c>
      <c r="H50" s="104">
        <f>(G50+G51)*'Тарифные ставки'!$B$13</f>
        <v>3509.6256</v>
      </c>
      <c r="I50" s="104">
        <f>H50*'Тарифные ставки'!$B$14*'Тарифные ставки'!$B$15</f>
        <v>4253.666227199999</v>
      </c>
      <c r="J50" s="24"/>
      <c r="K50" s="150">
        <v>6922.328399999999</v>
      </c>
      <c r="L50" s="13"/>
    </row>
    <row r="51" spans="1:12" ht="30.75" customHeight="1" hidden="1">
      <c r="A51" s="45"/>
      <c r="B51" s="653"/>
      <c r="C51" s="45"/>
      <c r="D51" s="257" t="s">
        <v>847</v>
      </c>
      <c r="E51" s="48">
        <v>85.02</v>
      </c>
      <c r="F51" s="105">
        <f>F50</f>
        <v>8</v>
      </c>
      <c r="G51" s="106">
        <f t="shared" si="3"/>
        <v>680.16</v>
      </c>
      <c r="H51" s="106"/>
      <c r="I51" s="106"/>
      <c r="J51" s="45"/>
      <c r="K51" s="150"/>
      <c r="L51" s="13"/>
    </row>
    <row r="52" spans="1:12" ht="15.75" hidden="1">
      <c r="A52" s="107" t="s">
        <v>609</v>
      </c>
      <c r="B52" s="652" t="s">
        <v>2082</v>
      </c>
      <c r="C52" s="94" t="s">
        <v>606</v>
      </c>
      <c r="D52" s="256" t="s">
        <v>848</v>
      </c>
      <c r="E52" s="103">
        <v>85.02</v>
      </c>
      <c r="F52" s="103">
        <v>4</v>
      </c>
      <c r="G52" s="104">
        <f t="shared" si="3"/>
        <v>340.08</v>
      </c>
      <c r="H52" s="104">
        <f>(G52+G53)*'Тарифные ставки'!$B$13</f>
        <v>1754.8128</v>
      </c>
      <c r="I52" s="104">
        <f>H52*'Тарифные ставки'!$B$14*'Тарифные ставки'!$B$15</f>
        <v>2126.8331135999997</v>
      </c>
      <c r="J52" s="24"/>
      <c r="K52" s="150">
        <v>3461.1641999999997</v>
      </c>
      <c r="L52" s="13"/>
    </row>
    <row r="53" spans="1:12" ht="15.75" hidden="1">
      <c r="A53" s="45"/>
      <c r="B53" s="653"/>
      <c r="C53" s="45"/>
      <c r="D53" s="257" t="s">
        <v>847</v>
      </c>
      <c r="E53" s="48">
        <v>85.02</v>
      </c>
      <c r="F53" s="105">
        <f>F52</f>
        <v>4</v>
      </c>
      <c r="G53" s="106">
        <f t="shared" si="3"/>
        <v>340.08</v>
      </c>
      <c r="H53" s="106"/>
      <c r="I53" s="106"/>
      <c r="J53" s="45"/>
      <c r="K53" s="150"/>
      <c r="L53" s="13"/>
    </row>
    <row r="54" spans="1:12" ht="15.75" hidden="1">
      <c r="A54" s="107" t="s">
        <v>610</v>
      </c>
      <c r="B54" s="652" t="s">
        <v>2083</v>
      </c>
      <c r="C54" s="94" t="s">
        <v>2168</v>
      </c>
      <c r="D54" s="256" t="s">
        <v>848</v>
      </c>
      <c r="E54" s="103">
        <v>85.02</v>
      </c>
      <c r="F54" s="103">
        <v>3</v>
      </c>
      <c r="G54" s="104">
        <f t="shared" si="3"/>
        <v>255.06</v>
      </c>
      <c r="H54" s="104">
        <f>(G54+G55)*'Тарифные ставки'!$B$13</f>
        <v>1316.1096</v>
      </c>
      <c r="I54" s="104">
        <f>H54*'Тарифные ставки'!$B$14*'Тарифные ставки'!$B$15</f>
        <v>1595.1248352</v>
      </c>
      <c r="J54" s="24"/>
      <c r="K54" s="150">
        <v>2595.8731500000004</v>
      </c>
      <c r="L54" s="13"/>
    </row>
    <row r="55" spans="1:12" ht="15.75" customHeight="1" hidden="1">
      <c r="A55" s="45"/>
      <c r="B55" s="653"/>
      <c r="C55" s="45"/>
      <c r="D55" s="257" t="s">
        <v>847</v>
      </c>
      <c r="E55" s="48">
        <v>85.02</v>
      </c>
      <c r="F55" s="105">
        <f>F54</f>
        <v>3</v>
      </c>
      <c r="G55" s="106">
        <f t="shared" si="3"/>
        <v>255.06</v>
      </c>
      <c r="H55" s="106"/>
      <c r="I55" s="106"/>
      <c r="J55" s="45"/>
      <c r="K55" s="150"/>
      <c r="L55" s="13"/>
    </row>
    <row r="56" spans="1:12" ht="15.75" hidden="1">
      <c r="A56" s="60" t="s">
        <v>611</v>
      </c>
      <c r="B56" s="61" t="s">
        <v>612</v>
      </c>
      <c r="C56" s="60" t="s">
        <v>2168</v>
      </c>
      <c r="D56" s="254" t="s">
        <v>847</v>
      </c>
      <c r="E56" s="48">
        <v>85.02</v>
      </c>
      <c r="F56" s="55">
        <v>4</v>
      </c>
      <c r="G56" s="102">
        <f t="shared" si="2"/>
        <v>340.08</v>
      </c>
      <c r="H56" s="102">
        <f>G56*'Тарифные ставки'!$B$13</f>
        <v>877.4064</v>
      </c>
      <c r="I56" s="102">
        <f>H56*'Тарифные ставки'!$B$14*'Тарифные ставки'!$B$15</f>
        <v>1063.4165567999999</v>
      </c>
      <c r="J56" s="60"/>
      <c r="K56" s="150">
        <v>1730.5820999999999</v>
      </c>
      <c r="L56" s="13"/>
    </row>
    <row r="57" spans="1:12" ht="15.75" hidden="1">
      <c r="A57" s="60" t="s">
        <v>613</v>
      </c>
      <c r="B57" s="61" t="s">
        <v>614</v>
      </c>
      <c r="C57" s="60" t="s">
        <v>615</v>
      </c>
      <c r="D57" s="256" t="s">
        <v>847</v>
      </c>
      <c r="E57" s="48">
        <v>85.02</v>
      </c>
      <c r="F57" s="55">
        <v>3</v>
      </c>
      <c r="G57" s="102">
        <f t="shared" si="2"/>
        <v>255.06</v>
      </c>
      <c r="H57" s="102">
        <f>G57*'Тарифные ставки'!$B$13</f>
        <v>658.0548</v>
      </c>
      <c r="I57" s="102">
        <f>H57*'Тарифные ставки'!$B$14*'Тарифные ставки'!$B$15</f>
        <v>797.5624176</v>
      </c>
      <c r="J57" s="60"/>
      <c r="K57" s="150">
        <v>1297.9365750000002</v>
      </c>
      <c r="L57" s="13"/>
    </row>
    <row r="58" spans="1:12" ht="15.75" hidden="1">
      <c r="A58" s="107" t="s">
        <v>616</v>
      </c>
      <c r="B58" s="631" t="s">
        <v>617</v>
      </c>
      <c r="C58" s="173" t="s">
        <v>618</v>
      </c>
      <c r="D58" s="256" t="s">
        <v>847</v>
      </c>
      <c r="E58" s="48">
        <v>85.02</v>
      </c>
      <c r="F58" s="174">
        <v>3</v>
      </c>
      <c r="G58" s="104">
        <f t="shared" si="2"/>
        <v>255.06</v>
      </c>
      <c r="H58" s="104">
        <f>(G58+G59)*'Тарифные ставки'!$B$13</f>
        <v>1316.1096</v>
      </c>
      <c r="I58" s="104">
        <f>H58*'Тарифные ставки'!$B$14*'Тарифные ставки'!$B$15</f>
        <v>1595.1248352</v>
      </c>
      <c r="J58" s="24"/>
      <c r="K58" s="150">
        <v>2595.8731500000004</v>
      </c>
      <c r="L58" s="13"/>
    </row>
    <row r="59" spans="1:12" ht="15.75" hidden="1">
      <c r="A59" s="13"/>
      <c r="B59" s="678"/>
      <c r="C59" s="215"/>
      <c r="D59" s="265" t="s">
        <v>847</v>
      </c>
      <c r="E59" s="48">
        <v>85.02</v>
      </c>
      <c r="F59" s="266">
        <f>F58</f>
        <v>3</v>
      </c>
      <c r="G59" s="150">
        <f t="shared" si="2"/>
        <v>255.06</v>
      </c>
      <c r="H59" s="150"/>
      <c r="I59" s="150"/>
      <c r="J59" s="13"/>
      <c r="K59" s="150"/>
      <c r="L59" s="13"/>
    </row>
    <row r="60" spans="1:12" ht="36" customHeight="1">
      <c r="A60" s="107" t="s">
        <v>619</v>
      </c>
      <c r="B60" s="652" t="s">
        <v>2402</v>
      </c>
      <c r="C60" s="94" t="s">
        <v>793</v>
      </c>
      <c r="D60" s="256" t="s">
        <v>847</v>
      </c>
      <c r="E60" s="48">
        <f>'Тарифные ставки'!$B$8</f>
        <v>148.16025</v>
      </c>
      <c r="F60" s="103">
        <v>3.4</v>
      </c>
      <c r="G60" s="104">
        <f aca="true" t="shared" si="4" ref="G60:G65">E60*F60</f>
        <v>503.74484999999993</v>
      </c>
      <c r="H60" s="104">
        <f>(G60+G61)*'Тарифные ставки'!$B$13</f>
        <v>2599.323426</v>
      </c>
      <c r="I60" s="104">
        <f>H60*'Тарифные ставки'!$B$14*'Тарифные ставки'!$B$15</f>
        <v>3150.379992312</v>
      </c>
      <c r="J60" s="397">
        <f>I60-I60/'Тарифные ставки'!$B$15</f>
        <v>525.0633320520001</v>
      </c>
      <c r="K60" s="104">
        <v>2941.9895699999997</v>
      </c>
      <c r="L60" s="417">
        <f aca="true" t="shared" si="5" ref="L60:L67">I60/K60*100-100</f>
        <v>7.083316148942046</v>
      </c>
    </row>
    <row r="61" spans="1:12" ht="36" customHeight="1">
      <c r="A61" s="45"/>
      <c r="B61" s="653"/>
      <c r="C61" s="45"/>
      <c r="D61" s="257" t="s">
        <v>847</v>
      </c>
      <c r="E61" s="47">
        <f>'Тарифные ставки'!$B$8</f>
        <v>148.16025</v>
      </c>
      <c r="F61" s="105">
        <f>F60</f>
        <v>3.4</v>
      </c>
      <c r="G61" s="106">
        <f t="shared" si="4"/>
        <v>503.74484999999993</v>
      </c>
      <c r="H61" s="106"/>
      <c r="I61" s="106"/>
      <c r="J61" s="45"/>
      <c r="K61" s="106"/>
      <c r="L61" s="499"/>
    </row>
    <row r="62" spans="1:12" ht="36" customHeight="1">
      <c r="A62" s="108" t="s">
        <v>794</v>
      </c>
      <c r="B62" s="652" t="s">
        <v>2403</v>
      </c>
      <c r="C62" s="94" t="s">
        <v>793</v>
      </c>
      <c r="D62" s="256" t="s">
        <v>847</v>
      </c>
      <c r="E62" s="48">
        <f>'Тарифные ставки'!$B$8</f>
        <v>148.16025</v>
      </c>
      <c r="F62" s="103">
        <v>3.95</v>
      </c>
      <c r="G62" s="104">
        <f t="shared" si="4"/>
        <v>585.2329875</v>
      </c>
      <c r="H62" s="104">
        <f>(G62+G63)*'Тарифные ставки'!$B$13</f>
        <v>3019.8022155000003</v>
      </c>
      <c r="I62" s="104">
        <f>H62*'Тарифные ставки'!$B$14*'Тарифные ставки'!$B$15</f>
        <v>3660.0002851860004</v>
      </c>
      <c r="J62" s="397">
        <f>I62-I62/'Тарифные ставки'!$B$15</f>
        <v>610.0000475309998</v>
      </c>
      <c r="K62" s="104">
        <v>3417.8996475</v>
      </c>
      <c r="L62" s="417">
        <f t="shared" si="5"/>
        <v>7.083316148942046</v>
      </c>
    </row>
    <row r="63" spans="1:12" ht="15.75">
      <c r="A63" s="45"/>
      <c r="B63" s="653"/>
      <c r="C63" s="45"/>
      <c r="D63" s="257" t="s">
        <v>847</v>
      </c>
      <c r="E63" s="47">
        <f>'Тарифные ставки'!$B$8</f>
        <v>148.16025</v>
      </c>
      <c r="F63" s="105">
        <f>F62</f>
        <v>3.95</v>
      </c>
      <c r="G63" s="106">
        <f t="shared" si="4"/>
        <v>585.2329875</v>
      </c>
      <c r="H63" s="106"/>
      <c r="I63" s="106"/>
      <c r="J63" s="45"/>
      <c r="K63" s="106"/>
      <c r="L63" s="45"/>
    </row>
    <row r="64" spans="1:12" ht="30.75" customHeight="1">
      <c r="A64" s="107" t="s">
        <v>2280</v>
      </c>
      <c r="B64" s="652" t="s">
        <v>2462</v>
      </c>
      <c r="C64" s="94" t="s">
        <v>793</v>
      </c>
      <c r="D64" s="256" t="s">
        <v>847</v>
      </c>
      <c r="E64" s="48">
        <f>'Тарифные ставки'!$B$8</f>
        <v>148.16025</v>
      </c>
      <c r="F64" s="103">
        <v>5.1</v>
      </c>
      <c r="G64" s="104">
        <f t="shared" si="4"/>
        <v>755.617275</v>
      </c>
      <c r="H64" s="104">
        <f>(G64+G65)*'Тарифные ставки'!$B$13</f>
        <v>3898.985139</v>
      </c>
      <c r="I64" s="104">
        <f>H64*'Тарифные ставки'!$B$14*'Тарифные ставки'!$B$15</f>
        <v>4725.569988468</v>
      </c>
      <c r="J64" s="397">
        <f>I64-I64/'Тарифные ставки'!$B$15</f>
        <v>787.5949980779997</v>
      </c>
      <c r="K64" s="104">
        <v>4412.984355</v>
      </c>
      <c r="L64" s="417">
        <f t="shared" si="5"/>
        <v>7.083316148942018</v>
      </c>
    </row>
    <row r="65" spans="1:12" ht="36.75" customHeight="1">
      <c r="A65" s="45"/>
      <c r="B65" s="653"/>
      <c r="C65" s="45"/>
      <c r="D65" s="257" t="s">
        <v>847</v>
      </c>
      <c r="E65" s="47">
        <f>'Тарифные ставки'!$B$8</f>
        <v>148.16025</v>
      </c>
      <c r="F65" s="105">
        <f>F64</f>
        <v>5.1</v>
      </c>
      <c r="G65" s="106">
        <f t="shared" si="4"/>
        <v>755.617275</v>
      </c>
      <c r="H65" s="106"/>
      <c r="I65" s="106"/>
      <c r="J65" s="45"/>
      <c r="K65" s="106"/>
      <c r="L65" s="45"/>
    </row>
    <row r="66" spans="1:12" ht="51" customHeight="1">
      <c r="A66" s="60" t="s">
        <v>371</v>
      </c>
      <c r="B66" s="61" t="s">
        <v>2404</v>
      </c>
      <c r="C66" s="60" t="s">
        <v>793</v>
      </c>
      <c r="D66" s="254" t="s">
        <v>847</v>
      </c>
      <c r="E66" s="55">
        <f>'Тарифные ставки'!$B$8</f>
        <v>148.16025</v>
      </c>
      <c r="F66" s="55">
        <f>5.94+5.94</f>
        <v>11.88</v>
      </c>
      <c r="G66" s="102">
        <f t="shared" si="2"/>
        <v>1760.14377</v>
      </c>
      <c r="H66" s="102">
        <f>G66*'Тарифные ставки'!$B$13</f>
        <v>4541.1709266</v>
      </c>
      <c r="I66" s="102">
        <f>H66*'Тарифные ставки'!$B$14*'Тарифные ставки'!$B$15</f>
        <v>5503.899163039199</v>
      </c>
      <c r="J66" s="493">
        <f>I66-I66/'Тарифные ставки'!$B$15</f>
        <v>917.3165271731996</v>
      </c>
      <c r="K66" s="102">
        <v>5139.828837</v>
      </c>
      <c r="L66" s="498">
        <f t="shared" si="5"/>
        <v>7.083316148942004</v>
      </c>
    </row>
    <row r="67" spans="1:12" ht="47.25">
      <c r="A67" s="45" t="s">
        <v>372</v>
      </c>
      <c r="B67" s="52" t="s">
        <v>2405</v>
      </c>
      <c r="C67" s="45" t="s">
        <v>793</v>
      </c>
      <c r="D67" s="265" t="s">
        <v>847</v>
      </c>
      <c r="E67" s="44">
        <f>'Тарифные ставки'!$B$8</f>
        <v>148.16025</v>
      </c>
      <c r="F67" s="47">
        <f>9.43+9.43</f>
        <v>18.86</v>
      </c>
      <c r="G67" s="106">
        <f t="shared" si="2"/>
        <v>2794.302315</v>
      </c>
      <c r="H67" s="106">
        <f>G67*'Тарифные ставки'!$B$13</f>
        <v>7209.2999727</v>
      </c>
      <c r="I67" s="106">
        <f>H67*'Тарифные ставки'!$B$14*'Тарифные ставки'!$B$15</f>
        <v>8737.6715669124</v>
      </c>
      <c r="J67" s="507">
        <f>I67-I67/'Тарифные ставки'!$B$15</f>
        <v>1456.2785944853995</v>
      </c>
      <c r="K67" s="106">
        <v>8159.6946014999985</v>
      </c>
      <c r="L67" s="499">
        <f t="shared" si="5"/>
        <v>7.083316148942046</v>
      </c>
    </row>
    <row r="68" spans="1:10" ht="47.25" hidden="1">
      <c r="A68" s="60" t="s">
        <v>373</v>
      </c>
      <c r="B68" s="61" t="s">
        <v>2406</v>
      </c>
      <c r="C68" s="60" t="s">
        <v>793</v>
      </c>
      <c r="D68" s="256" t="s">
        <v>847</v>
      </c>
      <c r="E68" s="48">
        <v>85.02</v>
      </c>
      <c r="F68" s="55">
        <f>11.45+11.45</f>
        <v>22.9</v>
      </c>
      <c r="G68" s="102">
        <f t="shared" si="2"/>
        <v>1946.9579999999999</v>
      </c>
      <c r="H68" s="102">
        <f>G68*'Тарифные ставки'!$B$13</f>
        <v>5023.15164</v>
      </c>
      <c r="I68" s="102">
        <f>H68*'Тарифные ставки'!$B$14*'Тарифные ставки'!$B$15</f>
        <v>6088.05978768</v>
      </c>
      <c r="J68" s="48">
        <f>H68*1.1*0.18</f>
        <v>994.5840247200001</v>
      </c>
    </row>
    <row r="69" spans="1:10" ht="47.25" hidden="1">
      <c r="A69" s="60" t="s">
        <v>374</v>
      </c>
      <c r="B69" s="61" t="s">
        <v>2407</v>
      </c>
      <c r="C69" s="60" t="s">
        <v>793</v>
      </c>
      <c r="D69" s="256" t="s">
        <v>847</v>
      </c>
      <c r="E69" s="48">
        <v>85.02</v>
      </c>
      <c r="F69" s="55">
        <f>16.5+16.5</f>
        <v>33</v>
      </c>
      <c r="G69" s="102">
        <f aca="true" t="shared" si="6" ref="G69:G75">E69*F69</f>
        <v>2805.66</v>
      </c>
      <c r="H69" s="102">
        <f>G69*'Тарифные ставки'!$B$13</f>
        <v>7238.6028</v>
      </c>
      <c r="I69" s="102">
        <f>H69*'Тарифные ставки'!$B$14*'Тарифные ставки'!$B$15</f>
        <v>8773.1865936</v>
      </c>
      <c r="J69" s="48">
        <f>H69*1.1*0.18</f>
        <v>1433.2433544</v>
      </c>
    </row>
    <row r="70" spans="1:10" ht="47.25" hidden="1">
      <c r="A70" s="60" t="s">
        <v>375</v>
      </c>
      <c r="B70" s="61" t="s">
        <v>2408</v>
      </c>
      <c r="C70" s="60" t="s">
        <v>793</v>
      </c>
      <c r="D70" s="256" t="s">
        <v>847</v>
      </c>
      <c r="E70" s="48">
        <v>85.02</v>
      </c>
      <c r="F70" s="55">
        <f>23.75*2</f>
        <v>47.5</v>
      </c>
      <c r="G70" s="102">
        <f t="shared" si="6"/>
        <v>4038.45</v>
      </c>
      <c r="H70" s="102">
        <f>G70*'Тарифные ставки'!$B$13</f>
        <v>10419.201</v>
      </c>
      <c r="I70" s="102">
        <f>H70*'Тарифные ставки'!$B$14*'Тарифные ставки'!$B$15</f>
        <v>12628.071612</v>
      </c>
      <c r="J70" s="48">
        <f>H70*1.1*0.18</f>
        <v>2063.001798</v>
      </c>
    </row>
    <row r="71" spans="1:10" ht="47.25" hidden="1">
      <c r="A71" s="60" t="s">
        <v>376</v>
      </c>
      <c r="B71" s="61" t="s">
        <v>2409</v>
      </c>
      <c r="C71" s="60" t="s">
        <v>793</v>
      </c>
      <c r="D71" s="256" t="s">
        <v>847</v>
      </c>
      <c r="E71" s="48">
        <v>85.02</v>
      </c>
      <c r="F71" s="55">
        <f>34.2*2</f>
        <v>68.4</v>
      </c>
      <c r="G71" s="102">
        <f t="shared" si="6"/>
        <v>5815.368</v>
      </c>
      <c r="H71" s="102">
        <f>G71*'Тарифные ставки'!$B$13</f>
        <v>15003.649440000001</v>
      </c>
      <c r="I71" s="102">
        <f>H71*'Тарифные ставки'!$B$14*'Тарифные ставки'!$B$15</f>
        <v>18184.42312128</v>
      </c>
      <c r="J71" s="48">
        <f aca="true" t="shared" si="7" ref="J71:J109">H71*1.1*0.18</f>
        <v>2970.72258912</v>
      </c>
    </row>
    <row r="72" spans="1:10" ht="63.75" customHeight="1" hidden="1">
      <c r="A72" s="60" t="s">
        <v>377</v>
      </c>
      <c r="B72" s="61" t="s">
        <v>2410</v>
      </c>
      <c r="C72" s="60" t="s">
        <v>793</v>
      </c>
      <c r="D72" s="256" t="s">
        <v>847</v>
      </c>
      <c r="E72" s="48">
        <v>85.02</v>
      </c>
      <c r="F72" s="55">
        <f>3.05*2</f>
        <v>6.1</v>
      </c>
      <c r="G72" s="102">
        <f t="shared" si="6"/>
        <v>518.622</v>
      </c>
      <c r="H72" s="102">
        <f>G72*'Тарифные ставки'!$B$13</f>
        <v>1338.04476</v>
      </c>
      <c r="I72" s="102">
        <f>H72*'Тарифные ставки'!$B$14*'Тарифные ставки'!$B$15</f>
        <v>1621.71024912</v>
      </c>
      <c r="J72" s="48">
        <f t="shared" si="7"/>
        <v>264.93286248</v>
      </c>
    </row>
    <row r="73" spans="1:10" ht="15.75" hidden="1">
      <c r="A73" s="60" t="s">
        <v>378</v>
      </c>
      <c r="B73" s="61" t="s">
        <v>379</v>
      </c>
      <c r="C73" s="60" t="s">
        <v>793</v>
      </c>
      <c r="D73" s="256" t="s">
        <v>847</v>
      </c>
      <c r="E73" s="48">
        <v>85.02</v>
      </c>
      <c r="F73" s="55">
        <f>3.5*2</f>
        <v>7</v>
      </c>
      <c r="G73" s="102">
        <f t="shared" si="6"/>
        <v>595.14</v>
      </c>
      <c r="H73" s="102">
        <f>G73*'Тарифные ставки'!$B$13</f>
        <v>1535.4612</v>
      </c>
      <c r="I73" s="102">
        <f>H73*'Тарифные ставки'!$B$14*'Тарифные ставки'!$B$15</f>
        <v>1860.9789744</v>
      </c>
      <c r="J73" s="48">
        <f t="shared" si="7"/>
        <v>304.02131760000003</v>
      </c>
    </row>
    <row r="74" spans="1:10" ht="63" customHeight="1" hidden="1">
      <c r="A74" s="60" t="s">
        <v>380</v>
      </c>
      <c r="B74" s="61" t="s">
        <v>2411</v>
      </c>
      <c r="C74" s="60" t="s">
        <v>793</v>
      </c>
      <c r="D74" s="256" t="s">
        <v>847</v>
      </c>
      <c r="E74" s="48">
        <v>85.02</v>
      </c>
      <c r="F74" s="55">
        <f>4.6*2</f>
        <v>9.2</v>
      </c>
      <c r="G74" s="102">
        <f t="shared" si="6"/>
        <v>782.1839999999999</v>
      </c>
      <c r="H74" s="102">
        <f>G74*'Тарифные ставки'!$B$13</f>
        <v>2018.0347199999997</v>
      </c>
      <c r="I74" s="102">
        <f>H74*'Тарифные ставки'!$B$14*'Тарифные ставки'!$B$15</f>
        <v>2445.8580806399996</v>
      </c>
      <c r="J74" s="48">
        <f t="shared" si="7"/>
        <v>399.57087455999994</v>
      </c>
    </row>
    <row r="75" spans="1:10" ht="15.75" hidden="1">
      <c r="A75" s="60" t="s">
        <v>381</v>
      </c>
      <c r="B75" s="61" t="s">
        <v>383</v>
      </c>
      <c r="C75" s="60" t="s">
        <v>793</v>
      </c>
      <c r="D75" s="256" t="s">
        <v>847</v>
      </c>
      <c r="E75" s="48">
        <v>85.02</v>
      </c>
      <c r="F75" s="55">
        <f>5.35*2</f>
        <v>10.7</v>
      </c>
      <c r="G75" s="102">
        <f t="shared" si="6"/>
        <v>909.7139999999999</v>
      </c>
      <c r="H75" s="102">
        <f>G75*'Тарифные ставки'!$B$13</f>
        <v>2347.06212</v>
      </c>
      <c r="I75" s="102">
        <f>H75*'Тарифные ставки'!$B$14*'Тарифные ставки'!$B$15</f>
        <v>2844.63928944</v>
      </c>
      <c r="J75" s="48">
        <f t="shared" si="7"/>
        <v>464.71829976</v>
      </c>
    </row>
    <row r="76" spans="1:10" ht="15.75" hidden="1">
      <c r="A76" s="60" t="s">
        <v>382</v>
      </c>
      <c r="B76" s="61" t="s">
        <v>384</v>
      </c>
      <c r="C76" s="60" t="s">
        <v>793</v>
      </c>
      <c r="D76" s="256" t="s">
        <v>847</v>
      </c>
      <c r="E76" s="48">
        <v>85.02</v>
      </c>
      <c r="F76" s="55">
        <f>8.8*2</f>
        <v>17.6</v>
      </c>
      <c r="G76" s="102">
        <f aca="true" t="shared" si="8" ref="G76:G87">E76*F76</f>
        <v>1496.352</v>
      </c>
      <c r="H76" s="102">
        <f>G76*'Тарифные ставки'!$B$13</f>
        <v>3860.5881600000002</v>
      </c>
      <c r="I76" s="102">
        <f>H76*'Тарифные ставки'!$B$14*'Тарифные ставки'!$B$15</f>
        <v>4679.03284992</v>
      </c>
      <c r="J76" s="48">
        <f t="shared" si="7"/>
        <v>764.3964556800001</v>
      </c>
    </row>
    <row r="77" spans="1:10" ht="15.75" hidden="1">
      <c r="A77" s="60" t="s">
        <v>385</v>
      </c>
      <c r="B77" s="61" t="s">
        <v>386</v>
      </c>
      <c r="C77" s="60" t="s">
        <v>793</v>
      </c>
      <c r="D77" s="256" t="s">
        <v>847</v>
      </c>
      <c r="E77" s="48">
        <v>85.02</v>
      </c>
      <c r="F77" s="55">
        <f>10.3*2</f>
        <v>20.6</v>
      </c>
      <c r="G77" s="102">
        <f t="shared" si="8"/>
        <v>1751.412</v>
      </c>
      <c r="H77" s="102">
        <f>G77*'Тарифные ставки'!$B$13</f>
        <v>4518.64296</v>
      </c>
      <c r="I77" s="102">
        <f>H77*'Тарифные ставки'!$B$14*'Тарифные ставки'!$B$15</f>
        <v>5476.595267520001</v>
      </c>
      <c r="J77" s="48">
        <f t="shared" si="7"/>
        <v>894.6913060800001</v>
      </c>
    </row>
    <row r="78" spans="1:10" ht="63" hidden="1">
      <c r="A78" s="60" t="s">
        <v>387</v>
      </c>
      <c r="B78" s="61" t="s">
        <v>1371</v>
      </c>
      <c r="C78" s="60" t="s">
        <v>793</v>
      </c>
      <c r="D78" s="256" t="s">
        <v>847</v>
      </c>
      <c r="E78" s="48">
        <v>85.02</v>
      </c>
      <c r="F78" s="55">
        <f>3.17*2</f>
        <v>6.34</v>
      </c>
      <c r="G78" s="102">
        <f t="shared" si="8"/>
        <v>539.0268</v>
      </c>
      <c r="H78" s="102">
        <f>G78*'Тарифные ставки'!$B$13</f>
        <v>1390.689144</v>
      </c>
      <c r="I78" s="102">
        <f>H78*'Тарифные ставки'!$B$14*'Тарифные ставки'!$B$15</f>
        <v>1685.5152425279998</v>
      </c>
      <c r="J78" s="48">
        <f t="shared" si="7"/>
        <v>275.356450512</v>
      </c>
    </row>
    <row r="79" spans="1:10" ht="63" hidden="1">
      <c r="A79" s="60" t="s">
        <v>671</v>
      </c>
      <c r="B79" s="61" t="s">
        <v>593</v>
      </c>
      <c r="C79" s="60" t="s">
        <v>793</v>
      </c>
      <c r="D79" s="256" t="s">
        <v>847</v>
      </c>
      <c r="E79" s="48">
        <v>85.02</v>
      </c>
      <c r="F79" s="55">
        <f>18*2</f>
        <v>36</v>
      </c>
      <c r="G79" s="102">
        <f t="shared" si="8"/>
        <v>3060.72</v>
      </c>
      <c r="H79" s="102">
        <f>G79*'Тарифные ставки'!$B$13</f>
        <v>7896.6576</v>
      </c>
      <c r="I79" s="102">
        <f>H79*'Тарифные ставки'!$B$14*'Тарифные ставки'!$B$15</f>
        <v>9570.7490112</v>
      </c>
      <c r="J79" s="48">
        <f t="shared" si="7"/>
        <v>1563.5382048</v>
      </c>
    </row>
    <row r="80" spans="1:10" ht="15.75" hidden="1">
      <c r="A80" s="60" t="s">
        <v>672</v>
      </c>
      <c r="B80" s="61" t="s">
        <v>673</v>
      </c>
      <c r="C80" s="60" t="s">
        <v>793</v>
      </c>
      <c r="D80" s="256" t="s">
        <v>847</v>
      </c>
      <c r="E80" s="48">
        <v>85.02</v>
      </c>
      <c r="F80" s="55">
        <f>24*2</f>
        <v>48</v>
      </c>
      <c r="G80" s="102">
        <f t="shared" si="8"/>
        <v>4080.96</v>
      </c>
      <c r="H80" s="102">
        <f>G80*'Тарифные ставки'!$B$13</f>
        <v>10528.8768</v>
      </c>
      <c r="I80" s="102">
        <f>H80*'Тарифные ставки'!$B$14*'Тарифные ставки'!$B$15</f>
        <v>12760.9986816</v>
      </c>
      <c r="J80" s="48">
        <f t="shared" si="7"/>
        <v>2084.7176064</v>
      </c>
    </row>
    <row r="81" spans="1:10" ht="15.75" hidden="1">
      <c r="A81" s="24" t="s">
        <v>674</v>
      </c>
      <c r="B81" s="652" t="s">
        <v>675</v>
      </c>
      <c r="C81" s="24" t="s">
        <v>1696</v>
      </c>
      <c r="D81" s="256" t="s">
        <v>848</v>
      </c>
      <c r="E81" s="103">
        <v>85.02</v>
      </c>
      <c r="F81" s="48">
        <v>2.45</v>
      </c>
      <c r="G81" s="104">
        <f t="shared" si="8"/>
        <v>208.299</v>
      </c>
      <c r="H81" s="104">
        <f>(G81+G82)*'Тарифные ставки'!$B$13</f>
        <v>1074.82284</v>
      </c>
      <c r="I81" s="104">
        <f>H81*'Тарифные ставки'!$B$14*'Тарифные ставки'!$B$15</f>
        <v>1302.68528208</v>
      </c>
      <c r="J81" s="48">
        <f t="shared" si="7"/>
        <v>212.81492232000002</v>
      </c>
    </row>
    <row r="82" spans="1:10" ht="15.75" hidden="1">
      <c r="A82" s="45"/>
      <c r="B82" s="653"/>
      <c r="C82" s="45"/>
      <c r="D82" s="257" t="s">
        <v>847</v>
      </c>
      <c r="E82" s="48">
        <v>85.02</v>
      </c>
      <c r="F82" s="47">
        <v>2.45</v>
      </c>
      <c r="G82" s="106">
        <f t="shared" si="8"/>
        <v>208.299</v>
      </c>
      <c r="H82" s="106"/>
      <c r="I82" s="106"/>
      <c r="J82" s="48">
        <f t="shared" si="7"/>
        <v>0</v>
      </c>
    </row>
    <row r="83" spans="1:10" ht="15.75" hidden="1">
      <c r="A83" s="24" t="s">
        <v>676</v>
      </c>
      <c r="B83" s="631" t="s">
        <v>2317</v>
      </c>
      <c r="C83" s="24" t="s">
        <v>1696</v>
      </c>
      <c r="D83" s="256" t="s">
        <v>848</v>
      </c>
      <c r="E83" s="103">
        <v>85.02</v>
      </c>
      <c r="F83" s="48">
        <v>3.25</v>
      </c>
      <c r="G83" s="104">
        <f>E83*F83</f>
        <v>276.315</v>
      </c>
      <c r="H83" s="104">
        <f>(G83+G84)*'Тарифные ставки'!$B$13</f>
        <v>1425.7854</v>
      </c>
      <c r="I83" s="104">
        <f>H83*'Тарифные ставки'!$B$14*'Тарифные ставки'!$B$15</f>
        <v>1728.0519047999999</v>
      </c>
      <c r="J83" s="48">
        <f t="shared" si="7"/>
        <v>282.3055092</v>
      </c>
    </row>
    <row r="84" spans="1:10" ht="15.75" hidden="1">
      <c r="A84" s="45"/>
      <c r="B84" s="632"/>
      <c r="C84" s="45"/>
      <c r="D84" s="257" t="s">
        <v>847</v>
      </c>
      <c r="E84" s="48">
        <v>85.02</v>
      </c>
      <c r="F84" s="47">
        <f>F83</f>
        <v>3.25</v>
      </c>
      <c r="G84" s="106">
        <f>E84*F84</f>
        <v>276.315</v>
      </c>
      <c r="H84" s="106"/>
      <c r="I84" s="106"/>
      <c r="J84" s="48">
        <f t="shared" si="7"/>
        <v>0</v>
      </c>
    </row>
    <row r="85" spans="1:10" ht="15.75" hidden="1">
      <c r="A85" s="60" t="s">
        <v>2318</v>
      </c>
      <c r="B85" s="61" t="s">
        <v>1176</v>
      </c>
      <c r="C85" s="60" t="s">
        <v>1177</v>
      </c>
      <c r="D85" s="256" t="s">
        <v>847</v>
      </c>
      <c r="E85" s="48">
        <v>85.02</v>
      </c>
      <c r="F85" s="55">
        <f>0.55*2</f>
        <v>1.1</v>
      </c>
      <c r="G85" s="102">
        <f t="shared" si="8"/>
        <v>93.522</v>
      </c>
      <c r="H85" s="102">
        <f>G85*'Тарифные ставки'!$B$13</f>
        <v>241.28676000000002</v>
      </c>
      <c r="I85" s="102">
        <f>H85*'Тарифные ставки'!$B$14*'Тарифные ставки'!$B$15</f>
        <v>292.43955312</v>
      </c>
      <c r="J85" s="48">
        <f t="shared" si="7"/>
        <v>47.77477848000001</v>
      </c>
    </row>
    <row r="86" spans="1:10" ht="31.5" hidden="1">
      <c r="A86" s="60" t="s">
        <v>1178</v>
      </c>
      <c r="B86" s="61" t="s">
        <v>594</v>
      </c>
      <c r="C86" s="60" t="s">
        <v>1812</v>
      </c>
      <c r="D86" s="256" t="s">
        <v>847</v>
      </c>
      <c r="E86" s="48">
        <v>85.02</v>
      </c>
      <c r="F86" s="55">
        <v>18.5</v>
      </c>
      <c r="G86" s="102">
        <f t="shared" si="8"/>
        <v>1572.87</v>
      </c>
      <c r="H86" s="102">
        <f>G86*'Тарифные ставки'!$B$13</f>
        <v>4058.0045999999998</v>
      </c>
      <c r="I86" s="102">
        <f>H86*'Тарифные ставки'!$B$14*'Тарифные ставки'!$B$15</f>
        <v>4918.301575199999</v>
      </c>
      <c r="J86" s="48">
        <f t="shared" si="7"/>
        <v>803.4849108</v>
      </c>
    </row>
    <row r="87" spans="1:10" ht="15.75" hidden="1">
      <c r="A87" s="60" t="s">
        <v>1179</v>
      </c>
      <c r="B87" s="61" t="s">
        <v>1180</v>
      </c>
      <c r="C87" s="60" t="s">
        <v>1812</v>
      </c>
      <c r="D87" s="256" t="s">
        <v>847</v>
      </c>
      <c r="E87" s="48">
        <v>85.02</v>
      </c>
      <c r="F87" s="55">
        <v>14</v>
      </c>
      <c r="G87" s="102">
        <f t="shared" si="8"/>
        <v>1190.28</v>
      </c>
      <c r="H87" s="102">
        <f>G87*'Тарифные ставки'!$B$13</f>
        <v>3070.9224</v>
      </c>
      <c r="I87" s="102">
        <f>H87*'Тарифные ставки'!$B$14*'Тарифные ставки'!$B$15</f>
        <v>3721.9579488</v>
      </c>
      <c r="J87" s="48">
        <f t="shared" si="7"/>
        <v>608.0426352000001</v>
      </c>
    </row>
    <row r="88" spans="1:10" ht="31.5" hidden="1">
      <c r="A88" s="60" t="s">
        <v>1183</v>
      </c>
      <c r="B88" s="61" t="s">
        <v>1181</v>
      </c>
      <c r="C88" s="60" t="s">
        <v>1812</v>
      </c>
      <c r="D88" s="256" t="s">
        <v>847</v>
      </c>
      <c r="E88" s="48">
        <v>85.02</v>
      </c>
      <c r="F88" s="55">
        <v>10</v>
      </c>
      <c r="G88" s="55">
        <f aca="true" t="shared" si="9" ref="G88:G103">E88*F88</f>
        <v>850.1999999999999</v>
      </c>
      <c r="H88" s="55">
        <f>G88*'Тарифные ставки'!$B$13</f>
        <v>2193.516</v>
      </c>
      <c r="I88" s="55">
        <f>H88*'Тарифные ставки'!$B$14*'Тарифные ставки'!$B$15</f>
        <v>2658.541392</v>
      </c>
      <c r="J88" s="48">
        <f t="shared" si="7"/>
        <v>434.31616800000006</v>
      </c>
    </row>
    <row r="89" spans="1:10" ht="31.5" hidden="1">
      <c r="A89" s="60" t="s">
        <v>1184</v>
      </c>
      <c r="B89" s="61" t="s">
        <v>1182</v>
      </c>
      <c r="C89" s="60" t="s">
        <v>1812</v>
      </c>
      <c r="D89" s="256" t="s">
        <v>847</v>
      </c>
      <c r="E89" s="48">
        <v>85.02</v>
      </c>
      <c r="F89" s="55">
        <v>6</v>
      </c>
      <c r="G89" s="55">
        <f t="shared" si="9"/>
        <v>510.12</v>
      </c>
      <c r="H89" s="55">
        <f>G89*'Тарифные ставки'!$B$13</f>
        <v>1316.1096</v>
      </c>
      <c r="I89" s="55">
        <f>H89*'Тарифные ставки'!$B$14*'Тарифные ставки'!$B$15</f>
        <v>1595.1248352</v>
      </c>
      <c r="J89" s="48">
        <f t="shared" si="7"/>
        <v>260.5897008</v>
      </c>
    </row>
    <row r="90" spans="1:10" ht="15.75" hidden="1">
      <c r="A90" s="110" t="s">
        <v>1185</v>
      </c>
      <c r="B90" s="6" t="s">
        <v>1186</v>
      </c>
      <c r="C90" s="3" t="s">
        <v>1812</v>
      </c>
      <c r="D90" s="256" t="s">
        <v>847</v>
      </c>
      <c r="E90" s="48">
        <v>85.02</v>
      </c>
      <c r="F90" s="58">
        <v>5</v>
      </c>
      <c r="G90" s="58">
        <f t="shared" si="9"/>
        <v>425.09999999999997</v>
      </c>
      <c r="H90" s="58">
        <f>G90*'Тарифные ставки'!$B$13</f>
        <v>1096.758</v>
      </c>
      <c r="I90" s="58">
        <f>H90*'Тарифные ставки'!$B$14*'Тарифные ставки'!$B$15</f>
        <v>1329.270696</v>
      </c>
      <c r="J90" s="48">
        <f t="shared" si="7"/>
        <v>217.15808400000003</v>
      </c>
    </row>
    <row r="91" spans="1:10" ht="15.75" hidden="1">
      <c r="A91" s="24" t="s">
        <v>1187</v>
      </c>
      <c r="B91" s="631" t="s">
        <v>1188</v>
      </c>
      <c r="C91" s="24" t="s">
        <v>1189</v>
      </c>
      <c r="D91" s="256" t="s">
        <v>848</v>
      </c>
      <c r="E91" s="103">
        <v>85.02</v>
      </c>
      <c r="F91" s="48">
        <v>2.8</v>
      </c>
      <c r="G91" s="104">
        <f t="shared" si="9"/>
        <v>238.05599999999998</v>
      </c>
      <c r="H91" s="104">
        <f>(G91+G92)*'Тарифные ставки'!$B$13</f>
        <v>1228.36896</v>
      </c>
      <c r="I91" s="104">
        <f>H91*'Тарифные ставки'!$B$14*'Тарифные ставки'!$B$15</f>
        <v>1488.7831795200002</v>
      </c>
      <c r="J91" s="48">
        <f t="shared" si="7"/>
        <v>243.21705408</v>
      </c>
    </row>
    <row r="92" spans="1:10" ht="15.75" hidden="1">
      <c r="A92" s="45"/>
      <c r="B92" s="632"/>
      <c r="C92" s="45"/>
      <c r="D92" s="257" t="s">
        <v>847</v>
      </c>
      <c r="E92" s="48">
        <v>85.02</v>
      </c>
      <c r="F92" s="47">
        <v>2.8</v>
      </c>
      <c r="G92" s="106">
        <f t="shared" si="9"/>
        <v>238.05599999999998</v>
      </c>
      <c r="H92" s="106"/>
      <c r="I92" s="106"/>
      <c r="J92" s="48">
        <f t="shared" si="7"/>
        <v>0</v>
      </c>
    </row>
    <row r="93" spans="1:10" ht="15.75" hidden="1">
      <c r="A93" s="24" t="s">
        <v>1190</v>
      </c>
      <c r="B93" s="31" t="s">
        <v>1191</v>
      </c>
      <c r="C93" s="24" t="s">
        <v>1189</v>
      </c>
      <c r="D93" s="256" t="s">
        <v>848</v>
      </c>
      <c r="E93" s="103">
        <v>85.02</v>
      </c>
      <c r="F93" s="48">
        <v>2</v>
      </c>
      <c r="G93" s="104">
        <f t="shared" si="9"/>
        <v>170.04</v>
      </c>
      <c r="H93" s="104">
        <f>(G93+G94)*'Тарифные ставки'!$B$13</f>
        <v>877.4064</v>
      </c>
      <c r="I93" s="104">
        <f>H93*'Тарифные ставки'!$B$14*'Тарифные ставки'!$B$15</f>
        <v>1063.4165567999999</v>
      </c>
      <c r="J93" s="48">
        <f t="shared" si="7"/>
        <v>173.7264672</v>
      </c>
    </row>
    <row r="94" spans="1:10" ht="15.75" hidden="1">
      <c r="A94" s="45"/>
      <c r="B94" s="52"/>
      <c r="C94" s="45"/>
      <c r="D94" s="257" t="s">
        <v>847</v>
      </c>
      <c r="E94" s="48">
        <v>85.02</v>
      </c>
      <c r="F94" s="47">
        <f>F93</f>
        <v>2</v>
      </c>
      <c r="G94" s="106">
        <f t="shared" si="9"/>
        <v>170.04</v>
      </c>
      <c r="H94" s="106"/>
      <c r="I94" s="106"/>
      <c r="J94" s="48">
        <f t="shared" si="7"/>
        <v>0</v>
      </c>
    </row>
    <row r="95" spans="1:10" ht="31.5" hidden="1">
      <c r="A95" s="24" t="s">
        <v>1192</v>
      </c>
      <c r="B95" s="31" t="s">
        <v>747</v>
      </c>
      <c r="C95" s="24" t="s">
        <v>1189</v>
      </c>
      <c r="D95" s="256" t="s">
        <v>848</v>
      </c>
      <c r="E95" s="103">
        <v>85.02</v>
      </c>
      <c r="F95" s="48">
        <v>4</v>
      </c>
      <c r="G95" s="104">
        <f t="shared" si="9"/>
        <v>340.08</v>
      </c>
      <c r="H95" s="104">
        <f>(G95+G96)*'Тарифные ставки'!$B$13</f>
        <v>1316.1096</v>
      </c>
      <c r="I95" s="104">
        <f>H95*'Тарифные ставки'!$B$14*'Тарифные ставки'!$B$15</f>
        <v>1595.1248352</v>
      </c>
      <c r="J95" s="48">
        <f t="shared" si="7"/>
        <v>260.5897008</v>
      </c>
    </row>
    <row r="96" spans="1:10" ht="15.75" hidden="1">
      <c r="A96" s="45"/>
      <c r="B96" s="52"/>
      <c r="C96" s="45"/>
      <c r="D96" s="257" t="s">
        <v>847</v>
      </c>
      <c r="E96" s="48">
        <v>85.02</v>
      </c>
      <c r="F96" s="47">
        <v>2</v>
      </c>
      <c r="G96" s="106">
        <f t="shared" si="9"/>
        <v>170.04</v>
      </c>
      <c r="H96" s="106"/>
      <c r="I96" s="106"/>
      <c r="J96" s="48">
        <f t="shared" si="7"/>
        <v>0</v>
      </c>
    </row>
    <row r="97" spans="1:10" ht="15.75" hidden="1">
      <c r="A97" s="24" t="s">
        <v>1195</v>
      </c>
      <c r="B97" s="31" t="s">
        <v>748</v>
      </c>
      <c r="C97" s="24" t="s">
        <v>1189</v>
      </c>
      <c r="D97" s="256" t="s">
        <v>848</v>
      </c>
      <c r="E97" s="103">
        <v>85.02</v>
      </c>
      <c r="F97" s="48">
        <v>2.35</v>
      </c>
      <c r="G97" s="104">
        <f t="shared" si="9"/>
        <v>199.797</v>
      </c>
      <c r="H97" s="104">
        <f>(G97+G98)*'Тарифные ставки'!$B$13</f>
        <v>1030.95252</v>
      </c>
      <c r="I97" s="104">
        <f>H97*'Тарифные ставки'!$B$14*'Тарифные ставки'!$B$15</f>
        <v>1249.51445424</v>
      </c>
      <c r="J97" s="48">
        <f t="shared" si="7"/>
        <v>204.12859896</v>
      </c>
    </row>
    <row r="98" spans="1:10" ht="15.75" hidden="1">
      <c r="A98" s="45"/>
      <c r="B98" s="52"/>
      <c r="C98" s="45"/>
      <c r="D98" s="257" t="s">
        <v>847</v>
      </c>
      <c r="E98" s="48">
        <v>85.02</v>
      </c>
      <c r="F98" s="47">
        <v>2.35</v>
      </c>
      <c r="G98" s="106">
        <f t="shared" si="9"/>
        <v>199.797</v>
      </c>
      <c r="H98" s="106"/>
      <c r="I98" s="106"/>
      <c r="J98" s="48">
        <f t="shared" si="7"/>
        <v>0</v>
      </c>
    </row>
    <row r="99" spans="1:10" ht="15.75" hidden="1">
      <c r="A99" s="147" t="s">
        <v>1197</v>
      </c>
      <c r="B99" s="61" t="s">
        <v>1193</v>
      </c>
      <c r="C99" s="60" t="s">
        <v>1194</v>
      </c>
      <c r="D99" s="256" t="s">
        <v>847</v>
      </c>
      <c r="E99" s="48">
        <v>85.02</v>
      </c>
      <c r="F99" s="55">
        <v>1.31</v>
      </c>
      <c r="G99" s="55">
        <f t="shared" si="9"/>
        <v>111.3762</v>
      </c>
      <c r="H99" s="55">
        <f>G99*'Тарифные ставки'!$B$13</f>
        <v>287.350596</v>
      </c>
      <c r="I99" s="55">
        <f>H99*'Тарифные ставки'!$B$14*'Тарифные ставки'!$B$15</f>
        <v>348.26892235199995</v>
      </c>
      <c r="J99" s="48">
        <f t="shared" si="7"/>
        <v>56.895418008</v>
      </c>
    </row>
    <row r="100" spans="1:10" ht="15.75" hidden="1">
      <c r="A100" s="24" t="s">
        <v>1198</v>
      </c>
      <c r="B100" s="31" t="s">
        <v>1196</v>
      </c>
      <c r="C100" s="24" t="s">
        <v>1901</v>
      </c>
      <c r="D100" s="256" t="s">
        <v>2316</v>
      </c>
      <c r="E100" s="103">
        <v>78.97</v>
      </c>
      <c r="F100" s="48">
        <v>4</v>
      </c>
      <c r="G100" s="104">
        <f t="shared" si="9"/>
        <v>315.88</v>
      </c>
      <c r="H100" s="104">
        <f>(G100+G101)*'Тарифные ставки'!$B$13</f>
        <v>1692.3768000000002</v>
      </c>
      <c r="I100" s="104">
        <f>H100*'Тарифные ставки'!$B$14*'Тарифные ставки'!$B$15</f>
        <v>2051.1606816000003</v>
      </c>
      <c r="J100" s="48">
        <f t="shared" si="7"/>
        <v>335.09060640000007</v>
      </c>
    </row>
    <row r="101" spans="1:10" ht="15.75" hidden="1">
      <c r="A101" s="45"/>
      <c r="B101" s="52"/>
      <c r="C101" s="45"/>
      <c r="D101" s="257" t="s">
        <v>847</v>
      </c>
      <c r="E101" s="48">
        <v>85.02</v>
      </c>
      <c r="F101" s="47">
        <f>F100</f>
        <v>4</v>
      </c>
      <c r="G101" s="106">
        <f t="shared" si="9"/>
        <v>340.08</v>
      </c>
      <c r="H101" s="106"/>
      <c r="I101" s="106"/>
      <c r="J101" s="48">
        <f t="shared" si="7"/>
        <v>0</v>
      </c>
    </row>
    <row r="102" spans="1:10" ht="15.75" hidden="1">
      <c r="A102" s="60" t="s">
        <v>749</v>
      </c>
      <c r="B102" s="61" t="s">
        <v>595</v>
      </c>
      <c r="C102" s="60" t="s">
        <v>115</v>
      </c>
      <c r="D102" s="256" t="s">
        <v>847</v>
      </c>
      <c r="E102" s="48">
        <v>85.02</v>
      </c>
      <c r="F102" s="55">
        <v>1.3</v>
      </c>
      <c r="G102" s="55">
        <f t="shared" si="9"/>
        <v>110.526</v>
      </c>
      <c r="H102" s="55">
        <f>G102*'Тарифные ставки'!$B$13</f>
        <v>285.15708</v>
      </c>
      <c r="I102" s="55">
        <f>H102*'Тарифные ставки'!$B$14*'Тарифные ставки'!$B$15</f>
        <v>345.61038096</v>
      </c>
      <c r="J102" s="48">
        <f t="shared" si="7"/>
        <v>56.461101840000005</v>
      </c>
    </row>
    <row r="103" spans="1:10" ht="15.75" hidden="1">
      <c r="A103" s="147" t="s">
        <v>750</v>
      </c>
      <c r="B103" s="61" t="s">
        <v>1199</v>
      </c>
      <c r="C103" s="60" t="s">
        <v>115</v>
      </c>
      <c r="D103" s="254" t="s">
        <v>847</v>
      </c>
      <c r="E103" s="48">
        <v>85.02</v>
      </c>
      <c r="F103" s="55">
        <v>2</v>
      </c>
      <c r="G103" s="55">
        <f t="shared" si="9"/>
        <v>170.04</v>
      </c>
      <c r="H103" s="55">
        <f>G103*'Тарифные ставки'!$B$13</f>
        <v>438.7032</v>
      </c>
      <c r="I103" s="55">
        <f>H103*'Тарифные ставки'!$B$14*'Тарифные ставки'!$B$15</f>
        <v>531.7082783999999</v>
      </c>
      <c r="J103" s="48">
        <f t="shared" si="7"/>
        <v>86.8632336</v>
      </c>
    </row>
    <row r="105" spans="1:9" ht="15.75">
      <c r="A105" s="604" t="s">
        <v>1463</v>
      </c>
      <c r="B105" s="604"/>
      <c r="C105" s="604"/>
      <c r="D105" s="604"/>
      <c r="E105" s="604"/>
      <c r="F105" s="604"/>
      <c r="G105" s="604"/>
      <c r="H105" s="604"/>
      <c r="I105" s="604"/>
    </row>
    <row r="107" spans="1:10" ht="47.25" hidden="1">
      <c r="A107" s="147" t="s">
        <v>1464</v>
      </c>
      <c r="B107" s="61" t="s">
        <v>1465</v>
      </c>
      <c r="C107" s="61" t="s">
        <v>1466</v>
      </c>
      <c r="D107" s="254" t="s">
        <v>847</v>
      </c>
      <c r="E107" s="101">
        <v>85.02</v>
      </c>
      <c r="F107" s="55">
        <v>1.73</v>
      </c>
      <c r="G107" s="55">
        <f aca="true" t="shared" si="10" ref="G107:G137">E107*F107</f>
        <v>147.0846</v>
      </c>
      <c r="H107" s="55">
        <f>G107*'Тарифные ставки'!$B$13</f>
        <v>379.478268</v>
      </c>
      <c r="I107" s="55">
        <f>H107*'Тарифные ставки'!$B$14*'Тарифные ставки'!$B$15</f>
        <v>459.927660816</v>
      </c>
      <c r="J107" s="48">
        <f t="shared" si="7"/>
        <v>75.136697064</v>
      </c>
    </row>
    <row r="108" spans="1:10" ht="31.5" hidden="1">
      <c r="A108" s="147" t="s">
        <v>1467</v>
      </c>
      <c r="B108" s="61" t="s">
        <v>1468</v>
      </c>
      <c r="C108" s="61" t="s">
        <v>1466</v>
      </c>
      <c r="D108" s="254" t="s">
        <v>847</v>
      </c>
      <c r="E108" s="101">
        <v>85.02</v>
      </c>
      <c r="F108" s="55">
        <v>1.87</v>
      </c>
      <c r="G108" s="55">
        <f t="shared" si="10"/>
        <v>158.9874</v>
      </c>
      <c r="H108" s="55">
        <f>G108*'Тарифные ставки'!$B$13</f>
        <v>410.187492</v>
      </c>
      <c r="I108" s="55">
        <f>H108*'Тарифные ставки'!$B$14*'Тарифные ставки'!$B$15</f>
        <v>497.147240304</v>
      </c>
      <c r="J108" s="48">
        <f t="shared" si="7"/>
        <v>81.217123416</v>
      </c>
    </row>
    <row r="109" spans="1:10" ht="50.25" customHeight="1" hidden="1">
      <c r="A109" s="107" t="s">
        <v>1469</v>
      </c>
      <c r="B109" s="31" t="s">
        <v>1470</v>
      </c>
      <c r="C109" s="31" t="s">
        <v>1466</v>
      </c>
      <c r="D109" s="256" t="s">
        <v>847</v>
      </c>
      <c r="E109" s="101">
        <v>85.02</v>
      </c>
      <c r="F109" s="48">
        <v>1.73</v>
      </c>
      <c r="G109" s="48">
        <f t="shared" si="10"/>
        <v>147.0846</v>
      </c>
      <c r="H109" s="48">
        <f>G109*'Тарифные ставки'!$B$13</f>
        <v>379.478268</v>
      </c>
      <c r="I109" s="48">
        <f>H109*'Тарифные ставки'!$B$14*'Тарифные ставки'!$B$15</f>
        <v>459.927660816</v>
      </c>
      <c r="J109" s="48">
        <f t="shared" si="7"/>
        <v>75.136697064</v>
      </c>
    </row>
    <row r="110" spans="1:10" ht="63">
      <c r="A110" s="328" t="s">
        <v>83</v>
      </c>
      <c r="B110" s="313" t="s">
        <v>82</v>
      </c>
      <c r="C110" s="313" t="s">
        <v>77</v>
      </c>
      <c r="D110" s="313" t="s">
        <v>81</v>
      </c>
      <c r="E110" s="314" t="s">
        <v>85</v>
      </c>
      <c r="F110" s="314" t="s">
        <v>78</v>
      </c>
      <c r="G110" s="314" t="s">
        <v>79</v>
      </c>
      <c r="H110" s="314" t="s">
        <v>80</v>
      </c>
      <c r="I110" s="313" t="s">
        <v>843</v>
      </c>
      <c r="J110" s="313" t="s">
        <v>2349</v>
      </c>
    </row>
    <row r="111" spans="1:12" s="298" customFormat="1" ht="47.25" customHeight="1">
      <c r="A111" s="107" t="s">
        <v>1471</v>
      </c>
      <c r="B111" s="31" t="s">
        <v>2463</v>
      </c>
      <c r="C111" s="258" t="s">
        <v>1466</v>
      </c>
      <c r="D111" s="256" t="s">
        <v>847</v>
      </c>
      <c r="E111" s="101">
        <f>'Тарифные ставки'!$B$8</f>
        <v>148.16025</v>
      </c>
      <c r="F111" s="261">
        <v>4</v>
      </c>
      <c r="G111" s="48">
        <f t="shared" si="10"/>
        <v>592.641</v>
      </c>
      <c r="H111" s="48">
        <f>G111*'Тарифные ставки'!$B$13</f>
        <v>1529.01378</v>
      </c>
      <c r="I111" s="48">
        <f>H111*'Тарифные ставки'!$B$14*'Тарифные ставки'!$B$15</f>
        <v>1853.1647013599998</v>
      </c>
      <c r="J111" s="397">
        <f>I111-I111/'Тарифные ставки'!$B$15</f>
        <v>308.86078355999985</v>
      </c>
      <c r="K111" s="500">
        <v>1730.5820999999999</v>
      </c>
      <c r="L111" s="417">
        <f aca="true" t="shared" si="11" ref="L111:L116">I111/K111*100-100</f>
        <v>7.083316148942018</v>
      </c>
    </row>
    <row r="112" spans="1:12" s="298" customFormat="1" ht="15.75">
      <c r="A112" s="148"/>
      <c r="B112" s="41" t="s">
        <v>1472</v>
      </c>
      <c r="C112" s="259"/>
      <c r="D112" s="100"/>
      <c r="E112" s="109">
        <f>'Тарифные ставки'!$B$8</f>
        <v>148.16025</v>
      </c>
      <c r="F112" s="262">
        <v>4.32</v>
      </c>
      <c r="G112" s="44">
        <f t="shared" si="10"/>
        <v>640.05228</v>
      </c>
      <c r="H112" s="44">
        <f>G112*'Тарифные ставки'!$B$13</f>
        <v>1651.3348824</v>
      </c>
      <c r="I112" s="44">
        <f>H112*'Тарифные ставки'!$B$14*'Тарифные ставки'!$B$15</f>
        <v>2001.4178774688</v>
      </c>
      <c r="J112" s="395">
        <f>I112-I112/'Тарифные ставки'!$B$15</f>
        <v>333.56964624479997</v>
      </c>
      <c r="K112" s="501">
        <v>1869.0286680000004</v>
      </c>
      <c r="L112" s="415">
        <f t="shared" si="11"/>
        <v>7.083316148942004</v>
      </c>
    </row>
    <row r="113" spans="1:12" s="298" customFormat="1" ht="15.75">
      <c r="A113" s="149"/>
      <c r="B113" s="42" t="s">
        <v>1473</v>
      </c>
      <c r="C113" s="260"/>
      <c r="D113" s="95"/>
      <c r="E113" s="105">
        <f>'Тарифные ставки'!$B$8</f>
        <v>148.16025</v>
      </c>
      <c r="F113" s="263">
        <v>12.96</v>
      </c>
      <c r="G113" s="47">
        <f t="shared" si="10"/>
        <v>1920.15684</v>
      </c>
      <c r="H113" s="47">
        <f>G113*'Тарифные ставки'!$B$13</f>
        <v>4954.0046472</v>
      </c>
      <c r="I113" s="47">
        <f>H113*'Тарифные ставки'!$B$14*'Тарифные ставки'!$B$15</f>
        <v>6004.253632406399</v>
      </c>
      <c r="J113" s="507">
        <f>I113-I113/'Тарифные ставки'!$B$15</f>
        <v>1000.7089387343995</v>
      </c>
      <c r="K113" s="506">
        <v>5607.086004000001</v>
      </c>
      <c r="L113" s="499">
        <f t="shared" si="11"/>
        <v>7.083316148942004</v>
      </c>
    </row>
    <row r="114" spans="1:12" s="298" customFormat="1" ht="63">
      <c r="A114" s="107" t="s">
        <v>1474</v>
      </c>
      <c r="B114" s="31" t="s">
        <v>2464</v>
      </c>
      <c r="C114" s="31" t="s">
        <v>1466</v>
      </c>
      <c r="D114" s="256" t="s">
        <v>847</v>
      </c>
      <c r="E114" s="101">
        <f>'Тарифные ставки'!$B$8</f>
        <v>148.16025</v>
      </c>
      <c r="F114" s="48">
        <v>4.9</v>
      </c>
      <c r="G114" s="48">
        <f t="shared" si="10"/>
        <v>725.985225</v>
      </c>
      <c r="H114" s="48">
        <f>G114*'Тарифные ставки'!$B$13</f>
        <v>1873.0418805000002</v>
      </c>
      <c r="I114" s="48">
        <f>H114*'Тарифные ставки'!$B$14*'Тарифные ставки'!$B$15</f>
        <v>2270.1267591660003</v>
      </c>
      <c r="J114" s="397">
        <f>I114-I114/'Тарифные ставки'!$B$15</f>
        <v>378.3544598609999</v>
      </c>
      <c r="K114" s="500">
        <v>2119.9630725</v>
      </c>
      <c r="L114" s="417">
        <f t="shared" si="11"/>
        <v>7.083316148942018</v>
      </c>
    </row>
    <row r="115" spans="1:12" s="298" customFormat="1" ht="15.75">
      <c r="A115" s="148"/>
      <c r="B115" s="41" t="s">
        <v>1472</v>
      </c>
      <c r="C115" s="51"/>
      <c r="D115" s="100"/>
      <c r="E115" s="109">
        <f>'Тарифные ставки'!$B$8</f>
        <v>148.16025</v>
      </c>
      <c r="F115" s="44">
        <v>5.33</v>
      </c>
      <c r="G115" s="44">
        <f t="shared" si="10"/>
        <v>789.6941324999999</v>
      </c>
      <c r="H115" s="44">
        <f>G115*'Тарифные ставки'!$B$13</f>
        <v>2037.4108618499997</v>
      </c>
      <c r="I115" s="44">
        <f>H115*'Тарифные ставки'!$B$14*'Тарифные ставки'!$B$15</f>
        <v>2469.3419645621993</v>
      </c>
      <c r="J115" s="395">
        <f>I115-I115/'Тарифные ставки'!$B$15</f>
        <v>411.5569940936998</v>
      </c>
      <c r="K115" s="501">
        <v>2306.00064825</v>
      </c>
      <c r="L115" s="415">
        <f t="shared" si="11"/>
        <v>7.083316148942004</v>
      </c>
    </row>
    <row r="116" spans="1:12" s="298" customFormat="1" ht="15.75">
      <c r="A116" s="149"/>
      <c r="B116" s="42" t="s">
        <v>1473</v>
      </c>
      <c r="C116" s="52"/>
      <c r="D116" s="95"/>
      <c r="E116" s="105">
        <f>'Тарифные ставки'!$B$8</f>
        <v>148.16025</v>
      </c>
      <c r="F116" s="47">
        <v>7.06</v>
      </c>
      <c r="G116" s="47">
        <f t="shared" si="10"/>
        <v>1046.0113649999998</v>
      </c>
      <c r="H116" s="47">
        <f>G116*'Тарифные ставки'!$B$13</f>
        <v>2698.7093216999997</v>
      </c>
      <c r="I116" s="47">
        <f>H116*'Тарифные ставки'!$B$14*'Тарифные ставки'!$B$15</f>
        <v>3270.8356979003997</v>
      </c>
      <c r="J116" s="507">
        <f>I116-I116/'Тарифные ставки'!$B$15</f>
        <v>545.1392829833999</v>
      </c>
      <c r="K116" s="506">
        <v>3054.4774065</v>
      </c>
      <c r="L116" s="499">
        <f t="shared" si="11"/>
        <v>7.083316148942018</v>
      </c>
    </row>
    <row r="117" spans="1:12" ht="47.25" hidden="1">
      <c r="A117" s="149" t="s">
        <v>1475</v>
      </c>
      <c r="B117" s="52" t="s">
        <v>1479</v>
      </c>
      <c r="C117" s="52" t="s">
        <v>1476</v>
      </c>
      <c r="D117" s="257" t="s">
        <v>847</v>
      </c>
      <c r="E117" s="105">
        <v>85.02</v>
      </c>
      <c r="F117" s="47">
        <v>1.9</v>
      </c>
      <c r="G117" s="47">
        <f t="shared" si="10"/>
        <v>161.53799999999998</v>
      </c>
      <c r="H117" s="47">
        <f>G117*'Тарифные ставки'!$B$13</f>
        <v>416.76804</v>
      </c>
      <c r="I117" s="47">
        <f>H117*'Тарифные ставки'!$B$14*'Тарифные ставки'!$B$15</f>
        <v>505.12286448</v>
      </c>
      <c r="J117" s="45"/>
      <c r="K117" s="13"/>
      <c r="L117" s="13"/>
    </row>
    <row r="118" spans="1:12" ht="15.75" hidden="1">
      <c r="A118" s="147" t="s">
        <v>1478</v>
      </c>
      <c r="B118" s="61" t="s">
        <v>1480</v>
      </c>
      <c r="C118" s="61" t="s">
        <v>1476</v>
      </c>
      <c r="D118" s="254" t="s">
        <v>847</v>
      </c>
      <c r="E118" s="101">
        <v>85.02</v>
      </c>
      <c r="F118" s="55">
        <v>3</v>
      </c>
      <c r="G118" s="55">
        <f t="shared" si="10"/>
        <v>255.06</v>
      </c>
      <c r="H118" s="55">
        <f>G118*'Тарифные ставки'!$B$13</f>
        <v>658.0548</v>
      </c>
      <c r="I118" s="55">
        <f>H118*'Тарифные ставки'!$B$14*'Тарифные ставки'!$B$15</f>
        <v>797.5624176</v>
      </c>
      <c r="J118" s="60"/>
      <c r="K118" s="13"/>
      <c r="L118" s="13"/>
    </row>
    <row r="119" spans="1:12" ht="47.25" hidden="1">
      <c r="A119" s="147" t="s">
        <v>1477</v>
      </c>
      <c r="B119" s="61" t="s">
        <v>1481</v>
      </c>
      <c r="C119" s="61" t="s">
        <v>1466</v>
      </c>
      <c r="D119" s="254" t="s">
        <v>847</v>
      </c>
      <c r="E119" s="101">
        <v>85.02</v>
      </c>
      <c r="F119" s="55">
        <v>2.88</v>
      </c>
      <c r="G119" s="55">
        <f t="shared" si="10"/>
        <v>244.8576</v>
      </c>
      <c r="H119" s="55">
        <f>G119*'Тарифные ставки'!$B$13</f>
        <v>631.732608</v>
      </c>
      <c r="I119" s="55">
        <f>H119*'Тарифные ставки'!$B$14*'Тарифные ставки'!$B$15</f>
        <v>765.659920896</v>
      </c>
      <c r="J119" s="60"/>
      <c r="K119" s="13"/>
      <c r="L119" s="13"/>
    </row>
    <row r="120" spans="1:12" ht="31.5" hidden="1">
      <c r="A120" s="147" t="s">
        <v>1482</v>
      </c>
      <c r="B120" s="61" t="s">
        <v>1483</v>
      </c>
      <c r="C120" s="61" t="s">
        <v>1466</v>
      </c>
      <c r="D120" s="254" t="s">
        <v>847</v>
      </c>
      <c r="E120" s="101">
        <v>85.02</v>
      </c>
      <c r="F120" s="55">
        <v>1.44</v>
      </c>
      <c r="G120" s="55">
        <f t="shared" si="10"/>
        <v>122.4288</v>
      </c>
      <c r="H120" s="55">
        <f>G120*'Тарифные ставки'!$B$13</f>
        <v>315.866304</v>
      </c>
      <c r="I120" s="55">
        <f>H120*'Тарифные ставки'!$B$14*'Тарифные ставки'!$B$15</f>
        <v>382.829960448</v>
      </c>
      <c r="J120" s="60"/>
      <c r="K120" s="13"/>
      <c r="L120" s="13"/>
    </row>
    <row r="121" spans="1:12" ht="31.5" hidden="1">
      <c r="A121" s="308" t="s">
        <v>1484</v>
      </c>
      <c r="B121" s="306" t="s">
        <v>1485</v>
      </c>
      <c r="C121" s="306" t="s">
        <v>813</v>
      </c>
      <c r="D121" s="309" t="s">
        <v>847</v>
      </c>
      <c r="E121" s="307">
        <v>85.02</v>
      </c>
      <c r="F121" s="310">
        <v>3.1</v>
      </c>
      <c r="G121" s="310">
        <f t="shared" si="10"/>
        <v>263.562</v>
      </c>
      <c r="H121" s="310">
        <f>G121*'Тарифные ставки'!$B$13</f>
        <v>679.98996</v>
      </c>
      <c r="I121" s="310">
        <f>H121*'Тарифные ставки'!$B$14*'Тарифные ставки'!$B$15</f>
        <v>824.14783152</v>
      </c>
      <c r="J121" s="60"/>
      <c r="K121" s="13"/>
      <c r="L121" s="13"/>
    </row>
    <row r="122" spans="1:12" ht="31.5" hidden="1">
      <c r="A122" s="147" t="s">
        <v>1486</v>
      </c>
      <c r="B122" s="61" t="s">
        <v>1487</v>
      </c>
      <c r="C122" s="61" t="s">
        <v>975</v>
      </c>
      <c r="D122" s="254" t="s">
        <v>847</v>
      </c>
      <c r="E122" s="101">
        <v>85.02</v>
      </c>
      <c r="F122" s="55">
        <v>0.56</v>
      </c>
      <c r="G122" s="55">
        <f t="shared" si="10"/>
        <v>47.611200000000004</v>
      </c>
      <c r="H122" s="55">
        <f>G122*'Тарифные ставки'!$B$13</f>
        <v>122.83689600000001</v>
      </c>
      <c r="I122" s="55">
        <f>H122*'Тарифные ставки'!$B$14*'Тарифные ставки'!$B$15</f>
        <v>148.878317952</v>
      </c>
      <c r="J122" s="60"/>
      <c r="K122" s="13"/>
      <c r="L122" s="13"/>
    </row>
    <row r="123" spans="1:12" ht="15.75" hidden="1">
      <c r="A123" s="147" t="s">
        <v>1488</v>
      </c>
      <c r="B123" s="61" t="s">
        <v>1489</v>
      </c>
      <c r="C123" s="61" t="s">
        <v>975</v>
      </c>
      <c r="D123" s="254" t="s">
        <v>847</v>
      </c>
      <c r="E123" s="101">
        <v>85.02</v>
      </c>
      <c r="F123" s="55">
        <v>0.95</v>
      </c>
      <c r="G123" s="55">
        <f t="shared" si="10"/>
        <v>80.76899999999999</v>
      </c>
      <c r="H123" s="55">
        <f>G123*'Тарифные ставки'!$B$13</f>
        <v>208.38402</v>
      </c>
      <c r="I123" s="55">
        <f>H123*'Тарифные ставки'!$B$14*'Тарифные ставки'!$B$15</f>
        <v>252.56143224</v>
      </c>
      <c r="J123" s="60"/>
      <c r="K123" s="13"/>
      <c r="L123" s="13"/>
    </row>
    <row r="124" spans="1:12" ht="31.5" hidden="1">
      <c r="A124" s="147" t="s">
        <v>1490</v>
      </c>
      <c r="B124" s="61" t="s">
        <v>459</v>
      </c>
      <c r="C124" s="61" t="s">
        <v>1466</v>
      </c>
      <c r="D124" s="254" t="s">
        <v>847</v>
      </c>
      <c r="E124" s="101">
        <v>85.02</v>
      </c>
      <c r="F124" s="55">
        <v>1</v>
      </c>
      <c r="G124" s="55">
        <f t="shared" si="10"/>
        <v>85.02</v>
      </c>
      <c r="H124" s="55">
        <f>G124*'Тарифные ставки'!$B$13</f>
        <v>219.3516</v>
      </c>
      <c r="I124" s="55">
        <f>H124*'Тарифные ставки'!$B$14*'Тарифные ставки'!$B$15</f>
        <v>265.85413919999996</v>
      </c>
      <c r="J124" s="60"/>
      <c r="K124" s="13"/>
      <c r="L124" s="13"/>
    </row>
    <row r="125" spans="1:12" ht="47.25" hidden="1">
      <c r="A125" s="147" t="s">
        <v>1491</v>
      </c>
      <c r="B125" s="61" t="s">
        <v>460</v>
      </c>
      <c r="C125" s="61" t="s">
        <v>1466</v>
      </c>
      <c r="D125" s="254" t="s">
        <v>847</v>
      </c>
      <c r="E125" s="101">
        <v>85.02</v>
      </c>
      <c r="F125" s="55">
        <v>1.3</v>
      </c>
      <c r="G125" s="55">
        <f t="shared" si="10"/>
        <v>110.526</v>
      </c>
      <c r="H125" s="55">
        <f>G125*'Тарифные ставки'!$B$13</f>
        <v>285.15708</v>
      </c>
      <c r="I125" s="55">
        <f>H125*'Тарифные ставки'!$B$14*'Тарифные ставки'!$B$15</f>
        <v>345.61038096</v>
      </c>
      <c r="J125" s="60"/>
      <c r="K125" s="13"/>
      <c r="L125" s="13"/>
    </row>
    <row r="126" spans="1:12" ht="31.5" hidden="1">
      <c r="A126" s="147" t="s">
        <v>1492</v>
      </c>
      <c r="B126" s="61" t="s">
        <v>1493</v>
      </c>
      <c r="C126" s="61" t="s">
        <v>1466</v>
      </c>
      <c r="D126" s="254" t="s">
        <v>847</v>
      </c>
      <c r="E126" s="101">
        <v>85.02</v>
      </c>
      <c r="F126" s="55">
        <v>1.12</v>
      </c>
      <c r="G126" s="55">
        <f t="shared" si="10"/>
        <v>95.22240000000001</v>
      </c>
      <c r="H126" s="55">
        <f>G126*'Тарифные ставки'!$B$13</f>
        <v>245.67379200000002</v>
      </c>
      <c r="I126" s="55">
        <f>H126*'Тарифные ставки'!$B$14*'Тарифные ставки'!$B$15</f>
        <v>297.756635904</v>
      </c>
      <c r="J126" s="60"/>
      <c r="K126" s="13"/>
      <c r="L126" s="13"/>
    </row>
    <row r="127" spans="1:12" ht="31.5" hidden="1">
      <c r="A127" s="147" t="s">
        <v>1494</v>
      </c>
      <c r="B127" s="61" t="s">
        <v>461</v>
      </c>
      <c r="C127" s="61" t="s">
        <v>1466</v>
      </c>
      <c r="D127" s="254" t="s">
        <v>847</v>
      </c>
      <c r="E127" s="101">
        <v>85.02</v>
      </c>
      <c r="F127" s="55">
        <v>2.16</v>
      </c>
      <c r="G127" s="55">
        <f t="shared" si="10"/>
        <v>183.6432</v>
      </c>
      <c r="H127" s="55">
        <f>G127*'Тарифные ставки'!$B$13</f>
        <v>473.799456</v>
      </c>
      <c r="I127" s="55">
        <f>H127*'Тарифные ставки'!$B$14*'Тарифные ставки'!$B$15</f>
        <v>574.244940672</v>
      </c>
      <c r="J127" s="60"/>
      <c r="K127" s="13"/>
      <c r="L127" s="13"/>
    </row>
    <row r="128" spans="1:12" ht="47.25" hidden="1">
      <c r="A128" s="147" t="s">
        <v>1495</v>
      </c>
      <c r="B128" s="61" t="s">
        <v>1496</v>
      </c>
      <c r="C128" s="61" t="s">
        <v>1696</v>
      </c>
      <c r="D128" s="254" t="s">
        <v>847</v>
      </c>
      <c r="E128" s="101">
        <v>85.02</v>
      </c>
      <c r="F128" s="55">
        <f>0.94*2</f>
        <v>1.88</v>
      </c>
      <c r="G128" s="55">
        <f t="shared" si="10"/>
        <v>159.83759999999998</v>
      </c>
      <c r="H128" s="55">
        <f>G128*'Тарифные ставки'!$B$13</f>
        <v>412.38100799999995</v>
      </c>
      <c r="I128" s="55">
        <f>H128*'Тарифные ставки'!$B$14*'Тарифные ставки'!$B$15</f>
        <v>499.80578169599994</v>
      </c>
      <c r="J128" s="60"/>
      <c r="K128" s="13"/>
      <c r="L128" s="13"/>
    </row>
    <row r="129" spans="1:12" ht="15.75" hidden="1">
      <c r="A129" s="147" t="s">
        <v>1497</v>
      </c>
      <c r="B129" s="61" t="s">
        <v>1498</v>
      </c>
      <c r="C129" s="61" t="s">
        <v>1696</v>
      </c>
      <c r="D129" s="254" t="s">
        <v>847</v>
      </c>
      <c r="E129" s="101">
        <v>85.02</v>
      </c>
      <c r="F129" s="55">
        <f>1.44*2</f>
        <v>2.88</v>
      </c>
      <c r="G129" s="55">
        <f t="shared" si="10"/>
        <v>244.8576</v>
      </c>
      <c r="H129" s="55">
        <f>G129*'Тарифные ставки'!$B$13</f>
        <v>631.732608</v>
      </c>
      <c r="I129" s="55">
        <f>H129*'Тарифные ставки'!$B$14*'Тарифные ставки'!$B$15</f>
        <v>765.659920896</v>
      </c>
      <c r="J129" s="60"/>
      <c r="K129" s="13"/>
      <c r="L129" s="13"/>
    </row>
    <row r="130" spans="1:12" ht="31.5" hidden="1">
      <c r="A130" s="147" t="s">
        <v>1499</v>
      </c>
      <c r="B130" s="61" t="s">
        <v>1919</v>
      </c>
      <c r="C130" s="61" t="s">
        <v>1466</v>
      </c>
      <c r="D130" s="254" t="s">
        <v>847</v>
      </c>
      <c r="E130" s="101">
        <v>85.02</v>
      </c>
      <c r="F130" s="55">
        <v>2.35</v>
      </c>
      <c r="G130" s="55">
        <f t="shared" si="10"/>
        <v>199.797</v>
      </c>
      <c r="H130" s="55">
        <f>G130*'Тарифные ставки'!$B$13</f>
        <v>515.47626</v>
      </c>
      <c r="I130" s="55">
        <f>H130*'Тарифные ставки'!$B$14*'Тарифные ставки'!$B$15</f>
        <v>624.75722712</v>
      </c>
      <c r="J130" s="60"/>
      <c r="K130" s="13"/>
      <c r="L130" s="13"/>
    </row>
    <row r="131" spans="1:12" ht="47.25" hidden="1">
      <c r="A131" s="147" t="s">
        <v>1920</v>
      </c>
      <c r="B131" s="61" t="s">
        <v>1252</v>
      </c>
      <c r="C131" s="61" t="s">
        <v>1466</v>
      </c>
      <c r="D131" s="254" t="s">
        <v>847</v>
      </c>
      <c r="E131" s="101">
        <v>85.02</v>
      </c>
      <c r="F131" s="55">
        <v>3.1</v>
      </c>
      <c r="G131" s="55">
        <f t="shared" si="10"/>
        <v>263.562</v>
      </c>
      <c r="H131" s="55">
        <f>G131*'Тарифные ставки'!$B$13</f>
        <v>679.98996</v>
      </c>
      <c r="I131" s="55">
        <f>H131*'Тарифные ставки'!$B$14*'Тарифные ставки'!$B$15</f>
        <v>824.14783152</v>
      </c>
      <c r="J131" s="60"/>
      <c r="K131" s="13"/>
      <c r="L131" s="13"/>
    </row>
    <row r="132" spans="1:12" ht="31.5" hidden="1">
      <c r="A132" s="147" t="s">
        <v>1921</v>
      </c>
      <c r="B132" s="61" t="s">
        <v>1937</v>
      </c>
      <c r="C132" s="61" t="s">
        <v>1466</v>
      </c>
      <c r="D132" s="254" t="s">
        <v>847</v>
      </c>
      <c r="E132" s="101">
        <v>85.02</v>
      </c>
      <c r="F132" s="55">
        <v>4.6</v>
      </c>
      <c r="G132" s="55">
        <f t="shared" si="10"/>
        <v>391.0919999999999</v>
      </c>
      <c r="H132" s="55">
        <f>G132*'Тарифные ставки'!$B$13</f>
        <v>1009.0173599999998</v>
      </c>
      <c r="I132" s="55">
        <f>H132*'Тарифные ставки'!$B$14*'Тарифные ставки'!$B$15</f>
        <v>1222.9290403199998</v>
      </c>
      <c r="J132" s="60"/>
      <c r="K132" s="13"/>
      <c r="L132" s="13"/>
    </row>
    <row r="133" spans="1:12" ht="31.5" hidden="1">
      <c r="A133" s="147" t="s">
        <v>1938</v>
      </c>
      <c r="B133" s="61" t="s">
        <v>1940</v>
      </c>
      <c r="C133" s="61" t="s">
        <v>1466</v>
      </c>
      <c r="D133" s="254" t="s">
        <v>847</v>
      </c>
      <c r="E133" s="101">
        <v>85.02</v>
      </c>
      <c r="F133" s="55">
        <v>2.16</v>
      </c>
      <c r="G133" s="55">
        <f t="shared" si="10"/>
        <v>183.6432</v>
      </c>
      <c r="H133" s="55">
        <f>G133*'Тарифные ставки'!$B$13</f>
        <v>473.799456</v>
      </c>
      <c r="I133" s="55">
        <f>H133*'Тарифные ставки'!$B$14*'Тарифные ставки'!$B$15</f>
        <v>574.244940672</v>
      </c>
      <c r="J133" s="60"/>
      <c r="K133" s="13"/>
      <c r="L133" s="13"/>
    </row>
    <row r="134" spans="1:12" ht="31.5" hidden="1">
      <c r="A134" s="147" t="s">
        <v>1939</v>
      </c>
      <c r="B134" s="61" t="s">
        <v>1253</v>
      </c>
      <c r="C134" s="61" t="s">
        <v>1466</v>
      </c>
      <c r="D134" s="254" t="s">
        <v>847</v>
      </c>
      <c r="E134" s="101">
        <v>85.02</v>
      </c>
      <c r="F134" s="55">
        <v>1.72</v>
      </c>
      <c r="G134" s="55">
        <f t="shared" si="10"/>
        <v>146.2344</v>
      </c>
      <c r="H134" s="55">
        <f>G134*'Тарифные ставки'!$B$13</f>
        <v>377.28475199999997</v>
      </c>
      <c r="I134" s="55">
        <f>H134*'Тарифные ставки'!$B$14*'Тарифные ставки'!$B$15</f>
        <v>457.269119424</v>
      </c>
      <c r="J134" s="60"/>
      <c r="K134" s="13"/>
      <c r="L134" s="13"/>
    </row>
    <row r="135" spans="1:12" ht="47.25" hidden="1">
      <c r="A135" s="147" t="s">
        <v>1941</v>
      </c>
      <c r="B135" s="61" t="s">
        <v>1254</v>
      </c>
      <c r="C135" s="61" t="s">
        <v>1466</v>
      </c>
      <c r="D135" s="254" t="s">
        <v>847</v>
      </c>
      <c r="E135" s="101">
        <v>85.02</v>
      </c>
      <c r="F135" s="55">
        <v>3.6</v>
      </c>
      <c r="G135" s="55">
        <f t="shared" si="10"/>
        <v>306.072</v>
      </c>
      <c r="H135" s="55">
        <f>G135*'Тарифные ставки'!$B$13</f>
        <v>789.66576</v>
      </c>
      <c r="I135" s="55">
        <f>H135*'Тарифные ставки'!$B$14*'Тарифные ставки'!$B$15</f>
        <v>957.0749011199999</v>
      </c>
      <c r="J135" s="60"/>
      <c r="K135" s="13"/>
      <c r="L135" s="13"/>
    </row>
    <row r="136" spans="1:12" ht="31.5" hidden="1">
      <c r="A136" s="147" t="s">
        <v>1942</v>
      </c>
      <c r="B136" s="61" t="s">
        <v>1943</v>
      </c>
      <c r="C136" s="61" t="s">
        <v>1944</v>
      </c>
      <c r="D136" s="254" t="s">
        <v>847</v>
      </c>
      <c r="E136" s="101">
        <v>85.02</v>
      </c>
      <c r="F136" s="55">
        <f>1.8*2</f>
        <v>3.6</v>
      </c>
      <c r="G136" s="55">
        <f t="shared" si="10"/>
        <v>306.072</v>
      </c>
      <c r="H136" s="55">
        <f>G136*'Тарифные ставки'!$B$13</f>
        <v>789.66576</v>
      </c>
      <c r="I136" s="55">
        <f>H136*'Тарифные ставки'!$B$14*'Тарифные ставки'!$B$15</f>
        <v>957.0749011199999</v>
      </c>
      <c r="J136" s="60"/>
      <c r="K136" s="13"/>
      <c r="L136" s="13"/>
    </row>
    <row r="137" spans="1:12" ht="47.25" hidden="1">
      <c r="A137" s="147" t="s">
        <v>1945</v>
      </c>
      <c r="B137" s="61" t="s">
        <v>228</v>
      </c>
      <c r="C137" s="61" t="s">
        <v>169</v>
      </c>
      <c r="D137" s="254" t="s">
        <v>847</v>
      </c>
      <c r="E137" s="101">
        <v>85.02</v>
      </c>
      <c r="F137" s="55">
        <v>1.1</v>
      </c>
      <c r="G137" s="55">
        <f t="shared" si="10"/>
        <v>93.522</v>
      </c>
      <c r="H137" s="55">
        <f>G137*'Тарифные ставки'!$B$13</f>
        <v>241.28676000000002</v>
      </c>
      <c r="I137" s="55">
        <f>H137*'Тарифные ставки'!$B$14*'Тарифные ставки'!$B$15</f>
        <v>292.43955312</v>
      </c>
      <c r="J137" s="60"/>
      <c r="K137" s="13"/>
      <c r="L137" s="13"/>
    </row>
    <row r="138" spans="1:12" ht="31.5" hidden="1">
      <c r="A138" s="147" t="s">
        <v>1946</v>
      </c>
      <c r="B138" s="61" t="s">
        <v>1947</v>
      </c>
      <c r="C138" s="61" t="s">
        <v>487</v>
      </c>
      <c r="D138" s="254" t="s">
        <v>847</v>
      </c>
      <c r="E138" s="101">
        <v>85.02</v>
      </c>
      <c r="F138" s="55">
        <v>1.6</v>
      </c>
      <c r="G138" s="55">
        <f aca="true" t="shared" si="12" ref="G138:G143">E138*F138</f>
        <v>136.032</v>
      </c>
      <c r="H138" s="55">
        <f>G138*'Тарифные ставки'!$B$13</f>
        <v>350.96256000000005</v>
      </c>
      <c r="I138" s="55">
        <f>H138*'Тарифные ставки'!$B$14*'Тарифные ставки'!$B$15</f>
        <v>425.36662272000007</v>
      </c>
      <c r="J138" s="60"/>
      <c r="K138" s="13"/>
      <c r="L138" s="13"/>
    </row>
    <row r="139" spans="1:12" ht="47.25" hidden="1">
      <c r="A139" s="147" t="s">
        <v>1948</v>
      </c>
      <c r="B139" s="61" t="s">
        <v>851</v>
      </c>
      <c r="C139" s="61" t="s">
        <v>1696</v>
      </c>
      <c r="D139" s="254" t="s">
        <v>847</v>
      </c>
      <c r="E139" s="101">
        <v>85.02</v>
      </c>
      <c r="F139" s="55">
        <v>3.2</v>
      </c>
      <c r="G139" s="55">
        <f t="shared" si="12"/>
        <v>272.064</v>
      </c>
      <c r="H139" s="55">
        <f>G139*'Тарифные ставки'!$B$13</f>
        <v>701.9251200000001</v>
      </c>
      <c r="I139" s="55">
        <f>H139*'Тарифные ставки'!$B$14*'Тарифные ставки'!$B$15</f>
        <v>850.7332454400001</v>
      </c>
      <c r="J139" s="60"/>
      <c r="K139" s="13"/>
      <c r="L139" s="13"/>
    </row>
    <row r="140" spans="1:12" ht="31.5" hidden="1">
      <c r="A140" s="147" t="s">
        <v>852</v>
      </c>
      <c r="B140" s="61" t="s">
        <v>853</v>
      </c>
      <c r="C140" s="61" t="s">
        <v>854</v>
      </c>
      <c r="D140" s="254" t="s">
        <v>847</v>
      </c>
      <c r="E140" s="101">
        <v>85.02</v>
      </c>
      <c r="F140" s="55">
        <v>5.62</v>
      </c>
      <c r="G140" s="55">
        <f t="shared" si="12"/>
        <v>477.81239999999997</v>
      </c>
      <c r="H140" s="55">
        <f>G140*'Тарифные ставки'!$B$13</f>
        <v>1232.7559919999999</v>
      </c>
      <c r="I140" s="55">
        <f>H140*'Тарифные ставки'!$B$14*'Тарифные ставки'!$B$15</f>
        <v>1494.100262304</v>
      </c>
      <c r="J140" s="60"/>
      <c r="K140" s="13"/>
      <c r="L140" s="13"/>
    </row>
    <row r="141" spans="1:12" ht="31.5" hidden="1">
      <c r="A141" s="147" t="s">
        <v>855</v>
      </c>
      <c r="B141" s="61" t="s">
        <v>856</v>
      </c>
      <c r="C141" s="61" t="s">
        <v>854</v>
      </c>
      <c r="D141" s="254" t="s">
        <v>847</v>
      </c>
      <c r="E141" s="101">
        <v>85.02</v>
      </c>
      <c r="F141" s="55">
        <v>5.04</v>
      </c>
      <c r="G141" s="55">
        <f t="shared" si="12"/>
        <v>428.50079999999997</v>
      </c>
      <c r="H141" s="55">
        <f>G141*'Тарифные ставки'!$B$13</f>
        <v>1105.532064</v>
      </c>
      <c r="I141" s="55">
        <f>H141*'Тарифные ставки'!$B$14*'Тарифные ставки'!$B$15</f>
        <v>1339.904861568</v>
      </c>
      <c r="J141" s="60"/>
      <c r="K141" s="13"/>
      <c r="L141" s="13"/>
    </row>
    <row r="142" spans="1:12" ht="94.5" hidden="1">
      <c r="A142" s="147" t="s">
        <v>857</v>
      </c>
      <c r="B142" s="61" t="s">
        <v>229</v>
      </c>
      <c r="C142" s="61" t="s">
        <v>2151</v>
      </c>
      <c r="D142" s="254" t="s">
        <v>847</v>
      </c>
      <c r="E142" s="101">
        <v>85.02</v>
      </c>
      <c r="F142" s="55">
        <f>1.37*2</f>
        <v>2.74</v>
      </c>
      <c r="G142" s="55">
        <f t="shared" si="12"/>
        <v>232.9548</v>
      </c>
      <c r="H142" s="55">
        <f>G142*'Тарифные ставки'!$B$13</f>
        <v>601.0233840000001</v>
      </c>
      <c r="I142" s="55">
        <f>H142*'Тарифные ставки'!$B$14*'Тарифные ставки'!$B$15</f>
        <v>728.440341408</v>
      </c>
      <c r="J142" s="60"/>
      <c r="K142" s="13"/>
      <c r="L142" s="13"/>
    </row>
    <row r="143" spans="1:12" ht="47.25" hidden="1">
      <c r="A143" s="147" t="s">
        <v>859</v>
      </c>
      <c r="B143" s="61" t="s">
        <v>860</v>
      </c>
      <c r="C143" s="61" t="s">
        <v>2151</v>
      </c>
      <c r="D143" s="254" t="s">
        <v>847</v>
      </c>
      <c r="E143" s="101">
        <v>85.02</v>
      </c>
      <c r="F143" s="55">
        <f>1.37*2</f>
        <v>2.74</v>
      </c>
      <c r="G143" s="55">
        <f t="shared" si="12"/>
        <v>232.9548</v>
      </c>
      <c r="H143" s="55">
        <f>G143*'Тарифные ставки'!$B$13</f>
        <v>601.0233840000001</v>
      </c>
      <c r="I143" s="55">
        <f>H143*'Тарифные ставки'!$B$14*'Тарифные ставки'!$B$15</f>
        <v>728.440341408</v>
      </c>
      <c r="J143" s="60"/>
      <c r="K143" s="13"/>
      <c r="L143" s="13"/>
    </row>
    <row r="144" spans="1:12" ht="31.5" hidden="1">
      <c r="A144" s="147" t="s">
        <v>861</v>
      </c>
      <c r="B144" s="61" t="s">
        <v>862</v>
      </c>
      <c r="C144" s="61" t="s">
        <v>2151</v>
      </c>
      <c r="D144" s="254" t="s">
        <v>847</v>
      </c>
      <c r="E144" s="101">
        <v>85.02</v>
      </c>
      <c r="F144" s="55">
        <v>2.74</v>
      </c>
      <c r="G144" s="55">
        <f aca="true" t="shared" si="13" ref="G144:G153">E144*F144</f>
        <v>232.9548</v>
      </c>
      <c r="H144" s="55">
        <f>G144*'Тарифные ставки'!$B$13</f>
        <v>601.0233840000001</v>
      </c>
      <c r="I144" s="55">
        <f>H144*'Тарифные ставки'!$B$14*'Тарифные ставки'!$B$15</f>
        <v>728.440341408</v>
      </c>
      <c r="J144" s="60"/>
      <c r="K144" s="13"/>
      <c r="L144" s="13"/>
    </row>
    <row r="145" spans="1:12" ht="31.5" hidden="1">
      <c r="A145" s="147" t="s">
        <v>858</v>
      </c>
      <c r="B145" s="61" t="s">
        <v>863</v>
      </c>
      <c r="C145" s="61" t="s">
        <v>813</v>
      </c>
      <c r="D145" s="254" t="s">
        <v>847</v>
      </c>
      <c r="E145" s="101">
        <v>85.02</v>
      </c>
      <c r="F145" s="55">
        <f>1.65*2</f>
        <v>3.3</v>
      </c>
      <c r="G145" s="55">
        <f t="shared" si="13"/>
        <v>280.566</v>
      </c>
      <c r="H145" s="55">
        <f>G145*'Тарифные ставки'!$B$13</f>
        <v>723.86028</v>
      </c>
      <c r="I145" s="55">
        <f>H145*'Тарифные ставки'!$B$14*'Тарифные ставки'!$B$15</f>
        <v>877.31865936</v>
      </c>
      <c r="J145" s="60"/>
      <c r="K145" s="13"/>
      <c r="L145" s="13"/>
    </row>
    <row r="146" spans="1:12" ht="31.5" hidden="1">
      <c r="A146" s="107" t="s">
        <v>864</v>
      </c>
      <c r="B146" s="31" t="s">
        <v>865</v>
      </c>
      <c r="C146" s="31" t="s">
        <v>813</v>
      </c>
      <c r="D146" s="256" t="s">
        <v>847</v>
      </c>
      <c r="E146" s="103">
        <v>85.02</v>
      </c>
      <c r="F146" s="48">
        <f>1.65*2</f>
        <v>3.3</v>
      </c>
      <c r="G146" s="48">
        <f t="shared" si="13"/>
        <v>280.566</v>
      </c>
      <c r="H146" s="48">
        <f>G146*'Тарифные ставки'!$B$13</f>
        <v>723.86028</v>
      </c>
      <c r="I146" s="48">
        <f>H146*'Тарифные ставки'!$B$14*'Тарифные ставки'!$B$15</f>
        <v>877.31865936</v>
      </c>
      <c r="J146" s="24"/>
      <c r="K146" s="13"/>
      <c r="L146" s="13"/>
    </row>
    <row r="147" spans="1:12" ht="31.5">
      <c r="A147" s="147" t="s">
        <v>866</v>
      </c>
      <c r="B147" s="61" t="s">
        <v>867</v>
      </c>
      <c r="C147" s="61" t="s">
        <v>813</v>
      </c>
      <c r="D147" s="254" t="s">
        <v>847</v>
      </c>
      <c r="E147" s="101">
        <f>'Тарифные ставки'!$B$8</f>
        <v>148.16025</v>
      </c>
      <c r="F147" s="55">
        <f>1.65*2</f>
        <v>3.3</v>
      </c>
      <c r="G147" s="55">
        <f t="shared" si="13"/>
        <v>488.92882499999996</v>
      </c>
      <c r="H147" s="55">
        <f>G147*'Тарифные ставки'!$B$13</f>
        <v>1261.4363684999998</v>
      </c>
      <c r="I147" s="55">
        <f>H147*'Тарифные ставки'!$B$14*'Тарифные ставки'!$B$15</f>
        <v>1528.8608786219997</v>
      </c>
      <c r="J147" s="493">
        <f>I147-I147/'Тарифные ставки'!$B$15</f>
        <v>254.81014643699996</v>
      </c>
      <c r="K147" s="102">
        <v>1427.7302324999998</v>
      </c>
      <c r="L147" s="498">
        <f>I147/K147*100-100</f>
        <v>7.083316148942018</v>
      </c>
    </row>
    <row r="148" spans="1:12" ht="15.75" hidden="1">
      <c r="A148" s="149" t="s">
        <v>868</v>
      </c>
      <c r="B148" s="52" t="s">
        <v>230</v>
      </c>
      <c r="C148" s="52" t="s">
        <v>813</v>
      </c>
      <c r="D148" s="257" t="s">
        <v>847</v>
      </c>
      <c r="E148" s="105">
        <v>85.02</v>
      </c>
      <c r="F148" s="47">
        <v>2.74</v>
      </c>
      <c r="G148" s="47">
        <f t="shared" si="13"/>
        <v>232.9548</v>
      </c>
      <c r="H148" s="47">
        <f>G148*'Тарифные ставки'!$B$13</f>
        <v>601.0233840000001</v>
      </c>
      <c r="I148" s="47">
        <f>H148*'Тарифные ставки'!$B$14*'Тарифные ставки'!$B$15</f>
        <v>728.440341408</v>
      </c>
      <c r="J148" s="44"/>
      <c r="K148" s="13"/>
      <c r="L148" s="13"/>
    </row>
    <row r="149" spans="1:12" ht="47.25" hidden="1">
      <c r="A149" s="107" t="s">
        <v>869</v>
      </c>
      <c r="B149" s="31" t="s">
        <v>231</v>
      </c>
      <c r="C149" s="258" t="s">
        <v>813</v>
      </c>
      <c r="D149" s="256" t="s">
        <v>847</v>
      </c>
      <c r="E149" s="101">
        <v>85.02</v>
      </c>
      <c r="F149" s="261"/>
      <c r="G149" s="48">
        <f t="shared" si="13"/>
        <v>0</v>
      </c>
      <c r="H149" s="48">
        <f>G149*'Тарифные ставки'!$B$13</f>
        <v>0</v>
      </c>
      <c r="I149" s="48">
        <f>H149*'Тарифные ставки'!$B$14*'Тарифные ставки'!$B$15</f>
        <v>0</v>
      </c>
      <c r="J149" s="48"/>
      <c r="K149" s="13"/>
      <c r="L149" s="13"/>
    </row>
    <row r="150" spans="1:12" ht="15.75" hidden="1">
      <c r="A150" s="148"/>
      <c r="B150" s="41" t="s">
        <v>870</v>
      </c>
      <c r="C150" s="259"/>
      <c r="D150" s="100"/>
      <c r="E150" s="109">
        <v>85.02</v>
      </c>
      <c r="F150" s="262">
        <f>5.9*2</f>
        <v>11.8</v>
      </c>
      <c r="G150" s="44">
        <f t="shared" si="13"/>
        <v>1003.236</v>
      </c>
      <c r="H150" s="44">
        <f>G150*'Тарифные ставки'!$B$13</f>
        <v>2588.34888</v>
      </c>
      <c r="I150" s="44">
        <f>H150*'Тарифные ставки'!$B$14*'Тарифные ставки'!$B$15</f>
        <v>3137.07884256</v>
      </c>
      <c r="J150" s="48"/>
      <c r="K150" s="13"/>
      <c r="L150" s="13"/>
    </row>
    <row r="151" spans="1:12" ht="15.75" hidden="1">
      <c r="A151" s="148"/>
      <c r="B151" s="41" t="s">
        <v>873</v>
      </c>
      <c r="C151" s="259"/>
      <c r="D151" s="100"/>
      <c r="E151" s="109">
        <v>85.02</v>
      </c>
      <c r="F151" s="262">
        <f>9*2</f>
        <v>18</v>
      </c>
      <c r="G151" s="44">
        <f t="shared" si="13"/>
        <v>1530.36</v>
      </c>
      <c r="H151" s="44">
        <f>G151*'Тарифные ставки'!$B$13</f>
        <v>3948.3288</v>
      </c>
      <c r="I151" s="44">
        <f>H151*'Тарифные ставки'!$B$14*'Тарифные ставки'!$B$15</f>
        <v>4785.3745056</v>
      </c>
      <c r="J151" s="48"/>
      <c r="K151" s="13"/>
      <c r="L151" s="13"/>
    </row>
    <row r="152" spans="1:12" ht="15.75" hidden="1">
      <c r="A152" s="148"/>
      <c r="B152" s="41" t="s">
        <v>871</v>
      </c>
      <c r="C152" s="259"/>
      <c r="D152" s="100"/>
      <c r="E152" s="109">
        <v>85.02</v>
      </c>
      <c r="F152" s="262">
        <f>11.88*2</f>
        <v>23.76</v>
      </c>
      <c r="G152" s="44">
        <f t="shared" si="13"/>
        <v>2020.0752</v>
      </c>
      <c r="H152" s="44">
        <f>G152*'Тарифные ставки'!$B$13</f>
        <v>5211.794016</v>
      </c>
      <c r="I152" s="44">
        <f>H152*'Тарифные ставки'!$B$14*'Тарифные ставки'!$B$15</f>
        <v>6316.694347392</v>
      </c>
      <c r="J152" s="48"/>
      <c r="K152" s="13"/>
      <c r="L152" s="13"/>
    </row>
    <row r="153" spans="1:12" ht="15.75" hidden="1">
      <c r="A153" s="149"/>
      <c r="B153" s="42" t="s">
        <v>872</v>
      </c>
      <c r="C153" s="260"/>
      <c r="D153" s="95"/>
      <c r="E153" s="105">
        <v>85.02</v>
      </c>
      <c r="F153" s="263">
        <f>14.4*2</f>
        <v>28.8</v>
      </c>
      <c r="G153" s="47">
        <f t="shared" si="13"/>
        <v>2448.576</v>
      </c>
      <c r="H153" s="47">
        <f>G153*'Тарифные ставки'!$B$13</f>
        <v>6317.32608</v>
      </c>
      <c r="I153" s="47">
        <f>H153*'Тарифные ставки'!$B$14*'Тарифные ставки'!$B$15</f>
        <v>7656.5992089599995</v>
      </c>
      <c r="J153" s="48"/>
      <c r="K153" s="13"/>
      <c r="L153" s="13"/>
    </row>
    <row r="154" spans="1:12" ht="15.75" hidden="1">
      <c r="A154" s="676" t="s">
        <v>581</v>
      </c>
      <c r="B154" s="677"/>
      <c r="C154" s="677"/>
      <c r="D154" s="677"/>
      <c r="E154" s="677"/>
      <c r="F154" s="677"/>
      <c r="G154" s="677"/>
      <c r="H154" s="677"/>
      <c r="I154" s="677"/>
      <c r="J154" s="48"/>
      <c r="K154" s="13"/>
      <c r="L154" s="13"/>
    </row>
    <row r="155" spans="1:12" ht="47.25" hidden="1">
      <c r="A155" s="107" t="s">
        <v>874</v>
      </c>
      <c r="B155" s="31" t="s">
        <v>582</v>
      </c>
      <c r="C155" s="31" t="s">
        <v>813</v>
      </c>
      <c r="D155" s="256" t="s">
        <v>847</v>
      </c>
      <c r="E155" s="101">
        <v>85.02</v>
      </c>
      <c r="F155" s="48"/>
      <c r="G155" s="48"/>
      <c r="H155" s="48"/>
      <c r="I155" s="48"/>
      <c r="J155" s="48"/>
      <c r="K155" s="13"/>
      <c r="L155" s="13"/>
    </row>
    <row r="156" spans="1:12" ht="15.75" hidden="1">
      <c r="A156" s="148"/>
      <c r="B156" s="41" t="s">
        <v>870</v>
      </c>
      <c r="C156" s="51"/>
      <c r="D156" s="100"/>
      <c r="E156" s="109">
        <v>85.02</v>
      </c>
      <c r="F156" s="44">
        <f>5.9*2</f>
        <v>11.8</v>
      </c>
      <c r="G156" s="44">
        <f>E156*F156</f>
        <v>1003.236</v>
      </c>
      <c r="H156" s="44">
        <f>G156*'Тарифные ставки'!$B$13</f>
        <v>2588.34888</v>
      </c>
      <c r="I156" s="44">
        <f>H156*'Тарифные ставки'!$B$14*'Тарифные ставки'!$B$15</f>
        <v>3137.07884256</v>
      </c>
      <c r="J156" s="48"/>
      <c r="K156" s="13"/>
      <c r="L156" s="13"/>
    </row>
    <row r="157" spans="1:12" ht="15.75" hidden="1">
      <c r="A157" s="148"/>
      <c r="B157" s="41" t="s">
        <v>873</v>
      </c>
      <c r="C157" s="51"/>
      <c r="D157" s="100"/>
      <c r="E157" s="109">
        <v>85.02</v>
      </c>
      <c r="F157" s="44">
        <f>9*2</f>
        <v>18</v>
      </c>
      <c r="G157" s="44">
        <f>E157*F157</f>
        <v>1530.36</v>
      </c>
      <c r="H157" s="44">
        <f>G157*'Тарифные ставки'!$B$13</f>
        <v>3948.3288</v>
      </c>
      <c r="I157" s="44">
        <f>H157*'Тарифные ставки'!$B$14*'Тарифные ставки'!$B$15</f>
        <v>4785.3745056</v>
      </c>
      <c r="J157" s="48"/>
      <c r="K157" s="13"/>
      <c r="L157" s="13"/>
    </row>
    <row r="158" spans="1:12" ht="15.75" hidden="1">
      <c r="A158" s="148"/>
      <c r="B158" s="41" t="s">
        <v>871</v>
      </c>
      <c r="C158" s="51"/>
      <c r="D158" s="100"/>
      <c r="E158" s="109">
        <v>85.02</v>
      </c>
      <c r="F158" s="44">
        <f>11.88*2</f>
        <v>23.76</v>
      </c>
      <c r="G158" s="44">
        <f>E158*F158</f>
        <v>2020.0752</v>
      </c>
      <c r="H158" s="44">
        <f>G158*'Тарифные ставки'!$B$13</f>
        <v>5211.794016</v>
      </c>
      <c r="I158" s="44">
        <f>H158*'Тарифные ставки'!$B$14*'Тарифные ставки'!$B$15</f>
        <v>6316.694347392</v>
      </c>
      <c r="J158" s="48"/>
      <c r="K158" s="13"/>
      <c r="L158" s="13"/>
    </row>
    <row r="159" spans="1:12" ht="15.75" hidden="1">
      <c r="A159" s="148"/>
      <c r="B159" s="41" t="s">
        <v>872</v>
      </c>
      <c r="C159" s="51"/>
      <c r="D159" s="100"/>
      <c r="E159" s="109">
        <v>85.02</v>
      </c>
      <c r="F159" s="44">
        <f>14.4*2</f>
        <v>28.8</v>
      </c>
      <c r="G159" s="44">
        <f>E159*F159</f>
        <v>2448.576</v>
      </c>
      <c r="H159" s="44">
        <f>G159*'Тарифные ставки'!$B$13</f>
        <v>6317.32608</v>
      </c>
      <c r="I159" s="44">
        <f>H159*'Тарифные ставки'!$B$14*'Тарифные ставки'!$B$15</f>
        <v>7656.5992089599995</v>
      </c>
      <c r="J159" s="48"/>
      <c r="K159" s="13"/>
      <c r="L159" s="13"/>
    </row>
    <row r="160" spans="1:12" ht="15.75" hidden="1">
      <c r="A160" s="676" t="s">
        <v>581</v>
      </c>
      <c r="B160" s="677"/>
      <c r="C160" s="677"/>
      <c r="D160" s="677"/>
      <c r="E160" s="677"/>
      <c r="F160" s="677"/>
      <c r="G160" s="677"/>
      <c r="H160" s="677"/>
      <c r="I160" s="677"/>
      <c r="J160" s="48"/>
      <c r="K160" s="13"/>
      <c r="L160" s="13"/>
    </row>
    <row r="161" spans="1:12" ht="47.25" hidden="1">
      <c r="A161" s="107" t="s">
        <v>875</v>
      </c>
      <c r="B161" s="31" t="s">
        <v>583</v>
      </c>
      <c r="C161" s="31" t="s">
        <v>813</v>
      </c>
      <c r="D161" s="256" t="s">
        <v>847</v>
      </c>
      <c r="E161" s="101">
        <v>85.02</v>
      </c>
      <c r="F161" s="48"/>
      <c r="G161" s="48"/>
      <c r="H161" s="48"/>
      <c r="I161" s="48"/>
      <c r="J161" s="48"/>
      <c r="K161" s="13"/>
      <c r="L161" s="13"/>
    </row>
    <row r="162" spans="1:12" ht="15.75" hidden="1">
      <c r="A162" s="148"/>
      <c r="B162" s="41" t="s">
        <v>870</v>
      </c>
      <c r="C162" s="51"/>
      <c r="D162" s="100"/>
      <c r="E162" s="109">
        <v>85.02</v>
      </c>
      <c r="F162" s="44">
        <f>5.9*2</f>
        <v>11.8</v>
      </c>
      <c r="G162" s="44">
        <f>E162*F162</f>
        <v>1003.236</v>
      </c>
      <c r="H162" s="44">
        <f>G162*'Тарифные ставки'!$B$13</f>
        <v>2588.34888</v>
      </c>
      <c r="I162" s="44">
        <f>H162*'Тарифные ставки'!$B$14*'Тарифные ставки'!$B$15</f>
        <v>3137.07884256</v>
      </c>
      <c r="J162" s="48"/>
      <c r="K162" s="13"/>
      <c r="L162" s="13"/>
    </row>
    <row r="163" spans="1:12" ht="15.75" hidden="1">
      <c r="A163" s="148"/>
      <c r="B163" s="41" t="s">
        <v>873</v>
      </c>
      <c r="C163" s="51"/>
      <c r="D163" s="100"/>
      <c r="E163" s="109">
        <v>85.02</v>
      </c>
      <c r="F163" s="44">
        <f>9*2</f>
        <v>18</v>
      </c>
      <c r="G163" s="44">
        <f>E163*F163</f>
        <v>1530.36</v>
      </c>
      <c r="H163" s="44">
        <f>G163*'Тарифные ставки'!$B$13</f>
        <v>3948.3288</v>
      </c>
      <c r="I163" s="44">
        <f>H163*'Тарифные ставки'!$B$14*'Тарифные ставки'!$B$15</f>
        <v>4785.3745056</v>
      </c>
      <c r="J163" s="48"/>
      <c r="K163" s="13"/>
      <c r="L163" s="13"/>
    </row>
    <row r="164" spans="1:12" ht="15.75" hidden="1">
      <c r="A164" s="148"/>
      <c r="B164" s="41" t="s">
        <v>871</v>
      </c>
      <c r="C164" s="51"/>
      <c r="D164" s="100"/>
      <c r="E164" s="109">
        <v>85.02</v>
      </c>
      <c r="F164" s="44">
        <f>11.88*2</f>
        <v>23.76</v>
      </c>
      <c r="G164" s="44">
        <f>E164*F164</f>
        <v>2020.0752</v>
      </c>
      <c r="H164" s="44">
        <f>G164*'Тарифные ставки'!$B$13</f>
        <v>5211.794016</v>
      </c>
      <c r="I164" s="44">
        <f>H164*'Тарифные ставки'!$B$14*'Тарифные ставки'!$B$15</f>
        <v>6316.694347392</v>
      </c>
      <c r="J164" s="48"/>
      <c r="K164" s="13"/>
      <c r="L164" s="13"/>
    </row>
    <row r="165" spans="1:12" ht="15.75" hidden="1">
      <c r="A165" s="148"/>
      <c r="B165" s="41" t="s">
        <v>872</v>
      </c>
      <c r="C165" s="51"/>
      <c r="D165" s="100"/>
      <c r="E165" s="109">
        <v>85.02</v>
      </c>
      <c r="F165" s="44">
        <f>14.4*2</f>
        <v>28.8</v>
      </c>
      <c r="G165" s="44">
        <f>E165*F165</f>
        <v>2448.576</v>
      </c>
      <c r="H165" s="44">
        <f>G165*'Тарифные ставки'!$B$13</f>
        <v>6317.32608</v>
      </c>
      <c r="I165" s="44">
        <f>H165*'Тарифные ставки'!$B$14*'Тарифные ставки'!$B$15</f>
        <v>7656.5992089599995</v>
      </c>
      <c r="J165" s="48"/>
      <c r="K165" s="13"/>
      <c r="L165" s="13"/>
    </row>
    <row r="166" spans="1:12" ht="15.75" hidden="1">
      <c r="A166" s="676" t="s">
        <v>581</v>
      </c>
      <c r="B166" s="677"/>
      <c r="C166" s="677"/>
      <c r="D166" s="677"/>
      <c r="E166" s="677"/>
      <c r="F166" s="677"/>
      <c r="G166" s="677"/>
      <c r="H166" s="677"/>
      <c r="I166" s="677"/>
      <c r="J166" s="48"/>
      <c r="K166" s="13"/>
      <c r="L166" s="13"/>
    </row>
    <row r="167" spans="1:12" ht="94.5" hidden="1">
      <c r="A167" s="147" t="s">
        <v>876</v>
      </c>
      <c r="B167" s="61" t="s">
        <v>252</v>
      </c>
      <c r="C167" s="61" t="s">
        <v>813</v>
      </c>
      <c r="D167" s="254" t="s">
        <v>847</v>
      </c>
      <c r="E167" s="101">
        <v>85.02</v>
      </c>
      <c r="F167" s="55">
        <f>1.3*2</f>
        <v>2.6</v>
      </c>
      <c r="G167" s="55">
        <f aca="true" t="shared" si="14" ref="G167:G176">E167*F167</f>
        <v>221.052</v>
      </c>
      <c r="H167" s="55">
        <f>G167*'Тарифные ставки'!$B$13</f>
        <v>570.31416</v>
      </c>
      <c r="I167" s="55">
        <f>H167*'Тарифные ставки'!$B$14*'Тарифные ставки'!$B$15</f>
        <v>691.22076192</v>
      </c>
      <c r="J167" s="48"/>
      <c r="K167" s="13"/>
      <c r="L167" s="13"/>
    </row>
    <row r="168" spans="1:12" ht="47.25" hidden="1">
      <c r="A168" s="147" t="s">
        <v>877</v>
      </c>
      <c r="B168" s="61" t="s">
        <v>253</v>
      </c>
      <c r="C168" s="61" t="s">
        <v>813</v>
      </c>
      <c r="D168" s="254" t="s">
        <v>847</v>
      </c>
      <c r="E168" s="101">
        <v>85.02</v>
      </c>
      <c r="F168" s="55">
        <f>1.3*2</f>
        <v>2.6</v>
      </c>
      <c r="G168" s="55">
        <f t="shared" si="14"/>
        <v>221.052</v>
      </c>
      <c r="H168" s="55">
        <f>G168*'Тарифные ставки'!$B$13</f>
        <v>570.31416</v>
      </c>
      <c r="I168" s="55">
        <f>H168*'Тарифные ставки'!$B$14*'Тарифные ставки'!$B$15</f>
        <v>691.22076192</v>
      </c>
      <c r="J168" s="48"/>
      <c r="K168" s="13"/>
      <c r="L168" s="13"/>
    </row>
    <row r="169" spans="1:12" ht="31.5" hidden="1">
      <c r="A169" s="107" t="s">
        <v>878</v>
      </c>
      <c r="B169" s="31" t="s">
        <v>254</v>
      </c>
      <c r="C169" s="31" t="s">
        <v>813</v>
      </c>
      <c r="D169" s="256" t="s">
        <v>847</v>
      </c>
      <c r="E169" s="103">
        <v>85.02</v>
      </c>
      <c r="F169" s="48">
        <v>2.6</v>
      </c>
      <c r="G169" s="48">
        <f t="shared" si="14"/>
        <v>221.052</v>
      </c>
      <c r="H169" s="48">
        <f>G169*'Тарифные ставки'!$B$13</f>
        <v>570.31416</v>
      </c>
      <c r="I169" s="48">
        <f>H169*'Тарифные ставки'!$B$14*'Тарифные ставки'!$B$15</f>
        <v>691.22076192</v>
      </c>
      <c r="J169" s="48"/>
      <c r="K169" s="13"/>
      <c r="L169" s="13"/>
    </row>
    <row r="170" spans="1:12" ht="31.5">
      <c r="A170" s="147" t="s">
        <v>879</v>
      </c>
      <c r="B170" s="61" t="s">
        <v>880</v>
      </c>
      <c r="C170" s="61" t="s">
        <v>813</v>
      </c>
      <c r="D170" s="254" t="s">
        <v>847</v>
      </c>
      <c r="E170" s="101">
        <f>'Тарифные ставки'!$B$8</f>
        <v>148.16025</v>
      </c>
      <c r="F170" s="55">
        <f>0.93+0.94</f>
        <v>1.87</v>
      </c>
      <c r="G170" s="55">
        <f t="shared" si="14"/>
        <v>277.0596675</v>
      </c>
      <c r="H170" s="55">
        <f>G170*'Тарифные ставки'!$B$13</f>
        <v>714.81394215</v>
      </c>
      <c r="I170" s="55">
        <f>H170*'Тарифные ставки'!$B$14*'Тарифные ставки'!$B$15</f>
        <v>866.3544978858</v>
      </c>
      <c r="J170" s="493">
        <f>I170-I170/'Тарифные ставки'!$B$15</f>
        <v>144.39241631430002</v>
      </c>
      <c r="K170" s="102">
        <v>809.0471317500002</v>
      </c>
      <c r="L170" s="498">
        <f>I170/K170*100-100</f>
        <v>7.083316148942004</v>
      </c>
    </row>
    <row r="171" spans="1:10" ht="47.25" hidden="1">
      <c r="A171" s="147" t="s">
        <v>881</v>
      </c>
      <c r="B171" s="61" t="s">
        <v>882</v>
      </c>
      <c r="C171" s="61" t="s">
        <v>813</v>
      </c>
      <c r="D171" s="254" t="s">
        <v>847</v>
      </c>
      <c r="E171" s="101">
        <v>85.02</v>
      </c>
      <c r="F171" s="55">
        <v>4.6</v>
      </c>
      <c r="G171" s="55">
        <f t="shared" si="14"/>
        <v>391.0919999999999</v>
      </c>
      <c r="H171" s="55">
        <f>G171*'Тарифные ставки'!$B$13</f>
        <v>1009.0173599999998</v>
      </c>
      <c r="I171" s="55">
        <f>H171*'Тарифные ставки'!$B$14*'Тарифные ставки'!$B$15</f>
        <v>1222.9290403199998</v>
      </c>
      <c r="J171" s="48">
        <f aca="true" t="shared" si="15" ref="J171:J185">H171*1.1*0.18</f>
        <v>199.78543727999997</v>
      </c>
    </row>
    <row r="172" spans="1:10" ht="47.25" hidden="1">
      <c r="A172" s="147" t="s">
        <v>883</v>
      </c>
      <c r="B172" s="61" t="s">
        <v>2010</v>
      </c>
      <c r="C172" s="61" t="s">
        <v>813</v>
      </c>
      <c r="D172" s="254" t="s">
        <v>847</v>
      </c>
      <c r="E172" s="101">
        <v>85.02</v>
      </c>
      <c r="F172" s="55">
        <v>4</v>
      </c>
      <c r="G172" s="55">
        <f t="shared" si="14"/>
        <v>340.08</v>
      </c>
      <c r="H172" s="55">
        <f>G172*'Тарифные ставки'!$B$13</f>
        <v>877.4064</v>
      </c>
      <c r="I172" s="55">
        <f>H172*'Тарифные ставки'!$B$14*'Тарифные ставки'!$B$15</f>
        <v>1063.4165567999999</v>
      </c>
      <c r="J172" s="48">
        <f t="shared" si="15"/>
        <v>173.7264672</v>
      </c>
    </row>
    <row r="173" spans="1:10" ht="47.25" hidden="1">
      <c r="A173" s="147" t="s">
        <v>2011</v>
      </c>
      <c r="B173" s="61" t="s">
        <v>255</v>
      </c>
      <c r="C173" s="61" t="s">
        <v>813</v>
      </c>
      <c r="D173" s="254" t="s">
        <v>847</v>
      </c>
      <c r="E173" s="101">
        <v>85.02</v>
      </c>
      <c r="F173" s="55">
        <f>1.37*2</f>
        <v>2.74</v>
      </c>
      <c r="G173" s="55">
        <f t="shared" si="14"/>
        <v>232.9548</v>
      </c>
      <c r="H173" s="55">
        <f>G173*'Тарифные ставки'!$B$13</f>
        <v>601.0233840000001</v>
      </c>
      <c r="I173" s="55">
        <f>H173*'Тарифные ставки'!$B$14*'Тарифные ставки'!$B$15</f>
        <v>728.440341408</v>
      </c>
      <c r="J173" s="48">
        <f t="shared" si="15"/>
        <v>119.00263003200001</v>
      </c>
    </row>
    <row r="174" spans="1:10" ht="47.25" hidden="1">
      <c r="A174" s="147" t="s">
        <v>2012</v>
      </c>
      <c r="B174" s="61" t="s">
        <v>596</v>
      </c>
      <c r="C174" s="61" t="s">
        <v>813</v>
      </c>
      <c r="D174" s="254" t="s">
        <v>847</v>
      </c>
      <c r="E174" s="101">
        <v>85.02</v>
      </c>
      <c r="F174" s="55">
        <f>2.73*2</f>
        <v>5.46</v>
      </c>
      <c r="G174" s="55">
        <f t="shared" si="14"/>
        <v>464.20919999999995</v>
      </c>
      <c r="H174" s="55">
        <f>G174*'Тарифные ставки'!$B$13</f>
        <v>1197.6597359999998</v>
      </c>
      <c r="I174" s="55">
        <f>H174*'Тарифные ставки'!$B$14*'Тарифные ставки'!$B$15</f>
        <v>1451.5636000319996</v>
      </c>
      <c r="J174" s="48">
        <f t="shared" si="15"/>
        <v>237.13662772799998</v>
      </c>
    </row>
    <row r="175" spans="1:10" ht="30" customHeight="1" hidden="1">
      <c r="A175" s="107" t="s">
        <v>2013</v>
      </c>
      <c r="B175" s="652" t="s">
        <v>2014</v>
      </c>
      <c r="C175" s="31" t="s">
        <v>813</v>
      </c>
      <c r="D175" s="256" t="s">
        <v>847</v>
      </c>
      <c r="E175" s="101">
        <v>85.02</v>
      </c>
      <c r="F175" s="48">
        <v>1.2</v>
      </c>
      <c r="G175" s="48">
        <f t="shared" si="14"/>
        <v>102.02399999999999</v>
      </c>
      <c r="H175" s="48">
        <f>(G175+G176)*'Тарифные ставки'!$B$13</f>
        <v>910.1620800000001</v>
      </c>
      <c r="I175" s="48">
        <f>H175*'Тарифные ставки'!$B$14*'Тарифные ставки'!$B$15</f>
        <v>1103.11644096</v>
      </c>
      <c r="J175" s="48">
        <f t="shared" si="15"/>
        <v>180.21209184000003</v>
      </c>
    </row>
    <row r="176" spans="1:10" ht="15.75" hidden="1">
      <c r="A176" s="148"/>
      <c r="B176" s="653"/>
      <c r="C176" s="51"/>
      <c r="D176" s="351" t="s">
        <v>2180</v>
      </c>
      <c r="E176" s="109">
        <v>208.96</v>
      </c>
      <c r="F176" s="44">
        <v>1.2</v>
      </c>
      <c r="G176" s="44">
        <f t="shared" si="14"/>
        <v>250.752</v>
      </c>
      <c r="H176" s="44"/>
      <c r="I176" s="44">
        <f>H176*'Тарифные ставки'!$B$14*'Тарифные ставки'!$B$15</f>
        <v>0</v>
      </c>
      <c r="J176" s="48">
        <f t="shared" si="15"/>
        <v>0</v>
      </c>
    </row>
    <row r="177" spans="1:10" s="22" customFormat="1" ht="15.75">
      <c r="A177" s="679" t="s">
        <v>2015</v>
      </c>
      <c r="B177" s="679"/>
      <c r="C177" s="679"/>
      <c r="D177" s="679"/>
      <c r="E177" s="679"/>
      <c r="F177" s="679"/>
      <c r="G177" s="679"/>
      <c r="H177" s="679"/>
      <c r="I177" s="679"/>
      <c r="J177" s="679"/>
    </row>
    <row r="178" spans="1:245" s="35" customFormat="1" ht="30" customHeight="1">
      <c r="A178" s="684" t="s">
        <v>1663</v>
      </c>
      <c r="B178" s="684"/>
      <c r="C178" s="684"/>
      <c r="D178" s="684"/>
      <c r="E178" s="684"/>
      <c r="F178" s="684"/>
      <c r="G178" s="684"/>
      <c r="H178" s="684"/>
      <c r="I178" s="684"/>
      <c r="J178" s="684">
        <f t="shared" si="15"/>
        <v>0</v>
      </c>
      <c r="K178" s="679"/>
      <c r="L178" s="679"/>
      <c r="M178" s="679"/>
      <c r="N178" s="679"/>
      <c r="O178" s="679"/>
      <c r="P178" s="679"/>
      <c r="Q178" s="679"/>
      <c r="R178" s="679"/>
      <c r="S178" s="679"/>
      <c r="T178" s="679"/>
      <c r="U178" s="679"/>
      <c r="V178" s="679"/>
      <c r="W178" s="679"/>
      <c r="X178" s="679"/>
      <c r="Y178" s="679"/>
      <c r="Z178" s="679"/>
      <c r="AA178" s="679"/>
      <c r="AB178" s="679"/>
      <c r="AC178" s="679"/>
      <c r="AD178" s="679"/>
      <c r="AE178" s="679"/>
      <c r="AF178" s="679"/>
      <c r="AG178" s="679"/>
      <c r="AH178" s="679"/>
      <c r="AI178" s="679"/>
      <c r="AJ178" s="679"/>
      <c r="AK178" s="679"/>
      <c r="AL178" s="679"/>
      <c r="AM178" s="679"/>
      <c r="AN178" s="679"/>
      <c r="AO178" s="679"/>
      <c r="AP178" s="679"/>
      <c r="AQ178" s="679"/>
      <c r="AR178" s="679"/>
      <c r="AS178" s="679"/>
      <c r="AT178" s="679"/>
      <c r="AU178" s="679"/>
      <c r="AV178" s="679"/>
      <c r="AW178" s="679"/>
      <c r="AX178" s="679"/>
      <c r="AY178" s="679"/>
      <c r="AZ178" s="679"/>
      <c r="BA178" s="679"/>
      <c r="BB178" s="679"/>
      <c r="BC178" s="679"/>
      <c r="BD178" s="679"/>
      <c r="BE178" s="679"/>
      <c r="BF178" s="679"/>
      <c r="BG178" s="679"/>
      <c r="BH178" s="679"/>
      <c r="BI178" s="679"/>
      <c r="BJ178" s="679"/>
      <c r="BK178" s="679"/>
      <c r="BL178" s="679"/>
      <c r="BM178" s="679"/>
      <c r="BN178" s="679"/>
      <c r="BO178" s="679"/>
      <c r="BP178" s="679"/>
      <c r="BQ178" s="679"/>
      <c r="BR178" s="679"/>
      <c r="BS178" s="679"/>
      <c r="BT178" s="679"/>
      <c r="BU178" s="679"/>
      <c r="BV178" s="679"/>
      <c r="BW178" s="679"/>
      <c r="BX178" s="679"/>
      <c r="BY178" s="679"/>
      <c r="BZ178" s="679"/>
      <c r="CA178" s="679"/>
      <c r="CB178" s="679"/>
      <c r="CC178" s="679"/>
      <c r="CD178" s="679"/>
      <c r="CE178" s="679"/>
      <c r="CF178" s="679"/>
      <c r="CG178" s="679"/>
      <c r="CH178" s="679"/>
      <c r="CI178" s="679"/>
      <c r="CJ178" s="679"/>
      <c r="CK178" s="679"/>
      <c r="CL178" s="679"/>
      <c r="CM178" s="679"/>
      <c r="CN178" s="679"/>
      <c r="CO178" s="679"/>
      <c r="CP178" s="679"/>
      <c r="CQ178" s="679"/>
      <c r="CR178" s="679"/>
      <c r="CS178" s="679"/>
      <c r="CT178" s="679"/>
      <c r="CU178" s="679"/>
      <c r="CV178" s="679"/>
      <c r="CW178" s="679"/>
      <c r="CX178" s="679"/>
      <c r="CY178" s="679"/>
      <c r="CZ178" s="679"/>
      <c r="DA178" s="679"/>
      <c r="DB178" s="679"/>
      <c r="DC178" s="679"/>
      <c r="DD178" s="679"/>
      <c r="DE178" s="679"/>
      <c r="DF178" s="679"/>
      <c r="DG178" s="679"/>
      <c r="DH178" s="679"/>
      <c r="DI178" s="679"/>
      <c r="DJ178" s="679"/>
      <c r="DK178" s="679"/>
      <c r="DL178" s="679"/>
      <c r="DM178" s="679"/>
      <c r="DN178" s="679"/>
      <c r="DO178" s="679"/>
      <c r="DP178" s="679"/>
      <c r="DQ178" s="679"/>
      <c r="DR178" s="679"/>
      <c r="DS178" s="679"/>
      <c r="DT178" s="679"/>
      <c r="DU178" s="679"/>
      <c r="DV178" s="679"/>
      <c r="DW178" s="679"/>
      <c r="DX178" s="679"/>
      <c r="DY178" s="679"/>
      <c r="DZ178" s="679"/>
      <c r="EA178" s="679"/>
      <c r="EB178" s="679"/>
      <c r="EC178" s="679"/>
      <c r="ED178" s="679"/>
      <c r="EE178" s="679"/>
      <c r="EF178" s="679"/>
      <c r="EG178" s="679"/>
      <c r="EH178" s="679"/>
      <c r="EI178" s="679"/>
      <c r="EJ178" s="679"/>
      <c r="EK178" s="679"/>
      <c r="EL178" s="679"/>
      <c r="EM178" s="679"/>
      <c r="EN178" s="679"/>
      <c r="EO178" s="679"/>
      <c r="EP178" s="679"/>
      <c r="EQ178" s="679"/>
      <c r="ER178" s="679"/>
      <c r="ES178" s="679"/>
      <c r="ET178" s="679"/>
      <c r="EU178" s="679"/>
      <c r="EV178" s="679"/>
      <c r="EW178" s="679"/>
      <c r="EX178" s="679"/>
      <c r="EY178" s="679"/>
      <c r="EZ178" s="679"/>
      <c r="FA178" s="679"/>
      <c r="FB178" s="679"/>
      <c r="FC178" s="679"/>
      <c r="FD178" s="679"/>
      <c r="FE178" s="679"/>
      <c r="FF178" s="679"/>
      <c r="FG178" s="679"/>
      <c r="FH178" s="679"/>
      <c r="FI178" s="679"/>
      <c r="FJ178" s="679"/>
      <c r="FK178" s="679"/>
      <c r="FL178" s="679"/>
      <c r="FM178" s="679"/>
      <c r="FN178" s="679"/>
      <c r="FO178" s="679"/>
      <c r="FP178" s="679"/>
      <c r="FQ178" s="679"/>
      <c r="FR178" s="679"/>
      <c r="FS178" s="679"/>
      <c r="FT178" s="679"/>
      <c r="FU178" s="679"/>
      <c r="FV178" s="679"/>
      <c r="FW178" s="679"/>
      <c r="FX178" s="679"/>
      <c r="FY178" s="679"/>
      <c r="FZ178" s="679"/>
      <c r="GA178" s="679"/>
      <c r="GB178" s="679"/>
      <c r="GC178" s="679"/>
      <c r="GD178" s="679"/>
      <c r="GE178" s="679"/>
      <c r="GF178" s="679"/>
      <c r="GG178" s="679"/>
      <c r="GH178" s="679"/>
      <c r="GI178" s="679"/>
      <c r="GJ178" s="679"/>
      <c r="GK178" s="679"/>
      <c r="GL178" s="679"/>
      <c r="GM178" s="679"/>
      <c r="GN178" s="679"/>
      <c r="GO178" s="679"/>
      <c r="GP178" s="679"/>
      <c r="GQ178" s="679"/>
      <c r="GR178" s="679"/>
      <c r="GS178" s="679"/>
      <c r="GT178" s="679"/>
      <c r="GU178" s="679"/>
      <c r="GV178" s="679"/>
      <c r="GW178" s="679"/>
      <c r="GX178" s="679"/>
      <c r="GY178" s="679"/>
      <c r="GZ178" s="679"/>
      <c r="HA178" s="679"/>
      <c r="HB178" s="679"/>
      <c r="HC178" s="679"/>
      <c r="HD178" s="679"/>
      <c r="HE178" s="679"/>
      <c r="HF178" s="679"/>
      <c r="HG178" s="679"/>
      <c r="HH178" s="679"/>
      <c r="HI178" s="679"/>
      <c r="HJ178" s="679"/>
      <c r="HK178" s="679"/>
      <c r="HL178" s="679"/>
      <c r="HM178" s="679"/>
      <c r="HN178" s="679"/>
      <c r="HO178" s="679"/>
      <c r="HP178" s="679"/>
      <c r="HQ178" s="679"/>
      <c r="HR178" s="679"/>
      <c r="HS178" s="679"/>
      <c r="HT178" s="679"/>
      <c r="HU178" s="679"/>
      <c r="HV178" s="679"/>
      <c r="HW178" s="679"/>
      <c r="HX178" s="679"/>
      <c r="HY178" s="679"/>
      <c r="HZ178" s="679"/>
      <c r="IA178" s="679"/>
      <c r="IB178" s="679"/>
      <c r="IC178" s="679"/>
      <c r="ID178" s="679"/>
      <c r="IE178" s="679"/>
      <c r="IF178" s="679"/>
      <c r="IG178" s="679"/>
      <c r="IH178" s="679"/>
      <c r="II178" s="679"/>
      <c r="IJ178" s="679"/>
      <c r="IK178" s="679"/>
    </row>
    <row r="179" spans="1:245" s="35" customFormat="1" ht="30" customHeight="1">
      <c r="A179" s="684" t="s">
        <v>2016</v>
      </c>
      <c r="B179" s="684"/>
      <c r="C179" s="684"/>
      <c r="D179" s="684"/>
      <c r="E179" s="684"/>
      <c r="F179" s="684"/>
      <c r="G179" s="684"/>
      <c r="H179" s="684"/>
      <c r="I179" s="684"/>
      <c r="J179" s="684">
        <f t="shared" si="15"/>
        <v>0</v>
      </c>
      <c r="K179" s="679"/>
      <c r="L179" s="679"/>
      <c r="M179" s="679"/>
      <c r="N179" s="679"/>
      <c r="O179" s="679"/>
      <c r="P179" s="679"/>
      <c r="Q179" s="679"/>
      <c r="R179" s="679"/>
      <c r="S179" s="679"/>
      <c r="T179" s="679"/>
      <c r="U179" s="679"/>
      <c r="V179" s="679"/>
      <c r="W179" s="679"/>
      <c r="X179" s="679"/>
      <c r="Y179" s="679"/>
      <c r="Z179" s="679"/>
      <c r="AA179" s="679"/>
      <c r="AB179" s="679"/>
      <c r="AC179" s="679"/>
      <c r="AD179" s="679"/>
      <c r="AE179" s="679"/>
      <c r="AF179" s="679"/>
      <c r="AG179" s="679"/>
      <c r="AH179" s="679"/>
      <c r="AI179" s="679"/>
      <c r="AJ179" s="679"/>
      <c r="AK179" s="679"/>
      <c r="AL179" s="679"/>
      <c r="AM179" s="679"/>
      <c r="AN179" s="679"/>
      <c r="AO179" s="679"/>
      <c r="AP179" s="679"/>
      <c r="AQ179" s="679"/>
      <c r="AR179" s="679"/>
      <c r="AS179" s="679"/>
      <c r="AT179" s="679"/>
      <c r="AU179" s="679"/>
      <c r="AV179" s="679"/>
      <c r="AW179" s="679"/>
      <c r="AX179" s="679"/>
      <c r="AY179" s="679"/>
      <c r="AZ179" s="679"/>
      <c r="BA179" s="679"/>
      <c r="BB179" s="679"/>
      <c r="BC179" s="679"/>
      <c r="BD179" s="679"/>
      <c r="BE179" s="679"/>
      <c r="BF179" s="679"/>
      <c r="BG179" s="679"/>
      <c r="BH179" s="679"/>
      <c r="BI179" s="679"/>
      <c r="BJ179" s="679"/>
      <c r="BK179" s="679"/>
      <c r="BL179" s="679"/>
      <c r="BM179" s="679"/>
      <c r="BN179" s="679"/>
      <c r="BO179" s="679"/>
      <c r="BP179" s="679"/>
      <c r="BQ179" s="679"/>
      <c r="BR179" s="679"/>
      <c r="BS179" s="679"/>
      <c r="BT179" s="679"/>
      <c r="BU179" s="679"/>
      <c r="BV179" s="679"/>
      <c r="BW179" s="679"/>
      <c r="BX179" s="679"/>
      <c r="BY179" s="679"/>
      <c r="BZ179" s="679"/>
      <c r="CA179" s="679"/>
      <c r="CB179" s="679"/>
      <c r="CC179" s="679"/>
      <c r="CD179" s="679"/>
      <c r="CE179" s="679"/>
      <c r="CF179" s="679"/>
      <c r="CG179" s="679"/>
      <c r="CH179" s="679"/>
      <c r="CI179" s="679"/>
      <c r="CJ179" s="679"/>
      <c r="CK179" s="679"/>
      <c r="CL179" s="679"/>
      <c r="CM179" s="679"/>
      <c r="CN179" s="679"/>
      <c r="CO179" s="679"/>
      <c r="CP179" s="679"/>
      <c r="CQ179" s="679"/>
      <c r="CR179" s="679"/>
      <c r="CS179" s="679"/>
      <c r="CT179" s="679"/>
      <c r="CU179" s="679"/>
      <c r="CV179" s="679"/>
      <c r="CW179" s="679"/>
      <c r="CX179" s="679"/>
      <c r="CY179" s="679"/>
      <c r="CZ179" s="679"/>
      <c r="DA179" s="679"/>
      <c r="DB179" s="679"/>
      <c r="DC179" s="679"/>
      <c r="DD179" s="679"/>
      <c r="DE179" s="679"/>
      <c r="DF179" s="679"/>
      <c r="DG179" s="679"/>
      <c r="DH179" s="679"/>
      <c r="DI179" s="679"/>
      <c r="DJ179" s="679"/>
      <c r="DK179" s="679"/>
      <c r="DL179" s="679"/>
      <c r="DM179" s="679"/>
      <c r="DN179" s="679"/>
      <c r="DO179" s="679"/>
      <c r="DP179" s="679"/>
      <c r="DQ179" s="679"/>
      <c r="DR179" s="679"/>
      <c r="DS179" s="679"/>
      <c r="DT179" s="679"/>
      <c r="DU179" s="679"/>
      <c r="DV179" s="679"/>
      <c r="DW179" s="679"/>
      <c r="DX179" s="679"/>
      <c r="DY179" s="679"/>
      <c r="DZ179" s="679"/>
      <c r="EA179" s="679"/>
      <c r="EB179" s="679"/>
      <c r="EC179" s="679"/>
      <c r="ED179" s="679"/>
      <c r="EE179" s="679"/>
      <c r="EF179" s="679"/>
      <c r="EG179" s="679"/>
      <c r="EH179" s="679"/>
      <c r="EI179" s="679"/>
      <c r="EJ179" s="679"/>
      <c r="EK179" s="679"/>
      <c r="EL179" s="679"/>
      <c r="EM179" s="679"/>
      <c r="EN179" s="679"/>
      <c r="EO179" s="679"/>
      <c r="EP179" s="679"/>
      <c r="EQ179" s="679"/>
      <c r="ER179" s="679"/>
      <c r="ES179" s="679"/>
      <c r="ET179" s="679"/>
      <c r="EU179" s="679"/>
      <c r="EV179" s="679"/>
      <c r="EW179" s="679"/>
      <c r="EX179" s="679"/>
      <c r="EY179" s="679"/>
      <c r="EZ179" s="679"/>
      <c r="FA179" s="679"/>
      <c r="FB179" s="679"/>
      <c r="FC179" s="679"/>
      <c r="FD179" s="679"/>
      <c r="FE179" s="679"/>
      <c r="FF179" s="679"/>
      <c r="FG179" s="679"/>
      <c r="FH179" s="679"/>
      <c r="FI179" s="679"/>
      <c r="FJ179" s="679"/>
      <c r="FK179" s="679"/>
      <c r="FL179" s="679"/>
      <c r="FM179" s="679"/>
      <c r="FN179" s="679"/>
      <c r="FO179" s="679"/>
      <c r="FP179" s="679"/>
      <c r="FQ179" s="679"/>
      <c r="FR179" s="679"/>
      <c r="FS179" s="679"/>
      <c r="FT179" s="679"/>
      <c r="FU179" s="679"/>
      <c r="FV179" s="679"/>
      <c r="FW179" s="679"/>
      <c r="FX179" s="679"/>
      <c r="FY179" s="679"/>
      <c r="FZ179" s="679"/>
      <c r="GA179" s="679"/>
      <c r="GB179" s="679"/>
      <c r="GC179" s="679"/>
      <c r="GD179" s="679"/>
      <c r="GE179" s="679"/>
      <c r="GF179" s="679"/>
      <c r="GG179" s="679"/>
      <c r="GH179" s="679"/>
      <c r="GI179" s="679"/>
      <c r="GJ179" s="679"/>
      <c r="GK179" s="679"/>
      <c r="GL179" s="679"/>
      <c r="GM179" s="679"/>
      <c r="GN179" s="679"/>
      <c r="GO179" s="679"/>
      <c r="GP179" s="679"/>
      <c r="GQ179" s="679"/>
      <c r="GR179" s="679"/>
      <c r="GS179" s="679"/>
      <c r="GT179" s="679"/>
      <c r="GU179" s="679"/>
      <c r="GV179" s="679"/>
      <c r="GW179" s="679"/>
      <c r="GX179" s="679"/>
      <c r="GY179" s="679"/>
      <c r="GZ179" s="679"/>
      <c r="HA179" s="679"/>
      <c r="HB179" s="679"/>
      <c r="HC179" s="679"/>
      <c r="HD179" s="679"/>
      <c r="HE179" s="679"/>
      <c r="HF179" s="679"/>
      <c r="HG179" s="679"/>
      <c r="HH179" s="679"/>
      <c r="HI179" s="679"/>
      <c r="HJ179" s="679"/>
      <c r="HK179" s="679"/>
      <c r="HL179" s="679"/>
      <c r="HM179" s="679"/>
      <c r="HN179" s="679"/>
      <c r="HO179" s="679"/>
      <c r="HP179" s="679"/>
      <c r="HQ179" s="679"/>
      <c r="HR179" s="679"/>
      <c r="HS179" s="679"/>
      <c r="HT179" s="679"/>
      <c r="HU179" s="679"/>
      <c r="HV179" s="679"/>
      <c r="HW179" s="679"/>
      <c r="HX179" s="679"/>
      <c r="HY179" s="679"/>
      <c r="HZ179" s="679"/>
      <c r="IA179" s="679"/>
      <c r="IB179" s="679"/>
      <c r="IC179" s="679"/>
      <c r="ID179" s="679"/>
      <c r="IE179" s="679"/>
      <c r="IF179" s="679"/>
      <c r="IG179" s="679"/>
      <c r="IH179" s="679"/>
      <c r="II179" s="679"/>
      <c r="IJ179" s="679"/>
      <c r="IK179" s="679"/>
    </row>
    <row r="181" spans="1:9" ht="15.75">
      <c r="A181" s="604" t="s">
        <v>2017</v>
      </c>
      <c r="B181" s="604"/>
      <c r="C181" s="604"/>
      <c r="D181" s="604"/>
      <c r="E181" s="604"/>
      <c r="F181" s="604"/>
      <c r="G181" s="604"/>
      <c r="H181" s="604"/>
      <c r="I181" s="604"/>
    </row>
    <row r="182" spans="1:9" ht="15.75">
      <c r="A182" s="311"/>
      <c r="B182" s="311"/>
      <c r="C182" s="311"/>
      <c r="D182" s="311"/>
      <c r="E182" s="311"/>
      <c r="F182" s="311"/>
      <c r="G182" s="311"/>
      <c r="H182" s="311"/>
      <c r="I182" s="311"/>
    </row>
    <row r="183" spans="1:10" ht="63">
      <c r="A183" s="328" t="s">
        <v>83</v>
      </c>
      <c r="B183" s="313" t="s">
        <v>82</v>
      </c>
      <c r="C183" s="313" t="s">
        <v>77</v>
      </c>
      <c r="D183" s="313" t="s">
        <v>81</v>
      </c>
      <c r="E183" s="314" t="s">
        <v>85</v>
      </c>
      <c r="F183" s="314" t="s">
        <v>78</v>
      </c>
      <c r="G183" s="314" t="s">
        <v>79</v>
      </c>
      <c r="H183" s="314" t="s">
        <v>80</v>
      </c>
      <c r="I183" s="313" t="s">
        <v>843</v>
      </c>
      <c r="J183" s="313" t="s">
        <v>2349</v>
      </c>
    </row>
    <row r="184" spans="1:10" ht="31.5" hidden="1">
      <c r="A184" s="136" t="s">
        <v>2019</v>
      </c>
      <c r="B184" s="61" t="s">
        <v>2018</v>
      </c>
      <c r="C184" s="61" t="s">
        <v>1685</v>
      </c>
      <c r="D184" s="254" t="s">
        <v>847</v>
      </c>
      <c r="E184" s="101">
        <v>85.02</v>
      </c>
      <c r="F184" s="55">
        <f>1.22+1.23</f>
        <v>2.45</v>
      </c>
      <c r="G184" s="55">
        <f aca="true" t="shared" si="16" ref="G184:G191">E184*F184</f>
        <v>208.299</v>
      </c>
      <c r="H184" s="55">
        <f>G184*'Тарифные ставки'!$B$13</f>
        <v>537.41142</v>
      </c>
      <c r="I184" s="55">
        <f>H184*'Тарифные ставки'!$B$14*'Тарифные ставки'!$B$15</f>
        <v>651.34264104</v>
      </c>
      <c r="J184" s="48">
        <f t="shared" si="15"/>
        <v>106.40746116000001</v>
      </c>
    </row>
    <row r="185" spans="1:10" ht="31.5" hidden="1">
      <c r="A185" s="136" t="s">
        <v>2020</v>
      </c>
      <c r="B185" s="61" t="s">
        <v>540</v>
      </c>
      <c r="C185" s="61" t="s">
        <v>1685</v>
      </c>
      <c r="D185" s="254" t="s">
        <v>847</v>
      </c>
      <c r="E185" s="101">
        <v>85.02</v>
      </c>
      <c r="F185" s="55">
        <f>1.75*2</f>
        <v>3.5</v>
      </c>
      <c r="G185" s="55">
        <f t="shared" si="16"/>
        <v>297.57</v>
      </c>
      <c r="H185" s="55">
        <f>G185*'Тарифные ставки'!$B$13</f>
        <v>767.7306</v>
      </c>
      <c r="I185" s="55">
        <f>H185*'Тарифные ставки'!$B$14*'Тарифные ставки'!$B$15</f>
        <v>930.4894872</v>
      </c>
      <c r="J185" s="48">
        <f t="shared" si="15"/>
        <v>152.01065880000002</v>
      </c>
    </row>
    <row r="186" spans="1:12" ht="31.5">
      <c r="A186" s="136" t="s">
        <v>2021</v>
      </c>
      <c r="B186" s="61" t="s">
        <v>541</v>
      </c>
      <c r="C186" s="61" t="s">
        <v>1685</v>
      </c>
      <c r="D186" s="254" t="s">
        <v>847</v>
      </c>
      <c r="E186" s="101">
        <f>'Тарифные ставки'!$B$8</f>
        <v>148.16025</v>
      </c>
      <c r="F186" s="55">
        <v>1.73</v>
      </c>
      <c r="G186" s="55">
        <f t="shared" si="16"/>
        <v>256.3172325</v>
      </c>
      <c r="H186" s="55">
        <f>G186*'Тарифные ставки'!$B$13</f>
        <v>661.29845985</v>
      </c>
      <c r="I186" s="55">
        <f>H186*'Тарифные ставки'!$B$14*'Тарифные ставки'!$B$15</f>
        <v>801.4937333382</v>
      </c>
      <c r="J186" s="493">
        <f>I186-I186/'Тарифные ставки'!$B$15</f>
        <v>133.58228888969995</v>
      </c>
      <c r="K186" s="102">
        <v>748.47675825</v>
      </c>
      <c r="L186" s="498">
        <f>I186/K186*100-100</f>
        <v>7.083316148942018</v>
      </c>
    </row>
    <row r="187" spans="1:12" ht="31.5">
      <c r="A187" s="136" t="s">
        <v>2022</v>
      </c>
      <c r="B187" s="61" t="s">
        <v>542</v>
      </c>
      <c r="C187" s="61" t="s">
        <v>1685</v>
      </c>
      <c r="D187" s="254" t="s">
        <v>847</v>
      </c>
      <c r="E187" s="101">
        <f>'Тарифные ставки'!$B$8</f>
        <v>148.16025</v>
      </c>
      <c r="F187" s="55">
        <v>2.74</v>
      </c>
      <c r="G187" s="55">
        <f t="shared" si="16"/>
        <v>405.959085</v>
      </c>
      <c r="H187" s="55">
        <f>G187*'Тарифные ставки'!$B$13</f>
        <v>1047.3744393000002</v>
      </c>
      <c r="I187" s="55">
        <f>H187*'Тарифные ставки'!$B$14*'Тарифные ставки'!$B$15</f>
        <v>1269.4178204316001</v>
      </c>
      <c r="J187" s="493">
        <f>I187-I187/'Тарифные ставки'!$B$15</f>
        <v>211.5696367385999</v>
      </c>
      <c r="K187" s="102">
        <v>1185.4487385</v>
      </c>
      <c r="L187" s="498">
        <f>I187/K187*100-100</f>
        <v>7.083316148942046</v>
      </c>
    </row>
    <row r="188" spans="1:12" ht="31.5" hidden="1">
      <c r="A188" s="135" t="s">
        <v>2023</v>
      </c>
      <c r="B188" s="52" t="s">
        <v>541</v>
      </c>
      <c r="C188" s="52" t="s">
        <v>1685</v>
      </c>
      <c r="D188" s="257" t="s">
        <v>847</v>
      </c>
      <c r="E188" s="105">
        <v>85.02</v>
      </c>
      <c r="F188" s="47">
        <f>1.51*2</f>
        <v>3.02</v>
      </c>
      <c r="G188" s="47">
        <f t="shared" si="16"/>
        <v>256.7604</v>
      </c>
      <c r="H188" s="47">
        <f>G188*'Тарифные ставки'!$B$13</f>
        <v>662.441832</v>
      </c>
      <c r="I188" s="47">
        <f>H188*'Тарифные ставки'!$B$14*'Тарифные ставки'!$B$15</f>
        <v>802.8795003839999</v>
      </c>
      <c r="J188" s="106"/>
      <c r="K188" s="150">
        <v>1306.5894855</v>
      </c>
      <c r="L188" s="13"/>
    </row>
    <row r="189" spans="1:12" ht="31.5" hidden="1">
      <c r="A189" s="136" t="s">
        <v>2024</v>
      </c>
      <c r="B189" s="61" t="s">
        <v>543</v>
      </c>
      <c r="C189" s="61" t="s">
        <v>1685</v>
      </c>
      <c r="D189" s="254" t="s">
        <v>847</v>
      </c>
      <c r="E189" s="101">
        <v>85.02</v>
      </c>
      <c r="F189" s="55">
        <v>4</v>
      </c>
      <c r="G189" s="55">
        <f t="shared" si="16"/>
        <v>340.08</v>
      </c>
      <c r="H189" s="55">
        <f>G189*'Тарифные ставки'!$B$13</f>
        <v>877.4064</v>
      </c>
      <c r="I189" s="55">
        <f>H189*'Тарифные ставки'!$B$14*'Тарифные ставки'!$B$15</f>
        <v>1063.4165567999999</v>
      </c>
      <c r="J189" s="102"/>
      <c r="K189" s="150">
        <v>1730.5820999999999</v>
      </c>
      <c r="L189" s="13"/>
    </row>
    <row r="190" spans="1:12" ht="31.5" hidden="1">
      <c r="A190" s="136" t="s">
        <v>2025</v>
      </c>
      <c r="B190" s="61" t="s">
        <v>1664</v>
      </c>
      <c r="C190" s="61" t="s">
        <v>1685</v>
      </c>
      <c r="D190" s="254" t="s">
        <v>847</v>
      </c>
      <c r="E190" s="101">
        <v>85.02</v>
      </c>
      <c r="F190" s="55">
        <f>0.63+0.64</f>
        <v>1.27</v>
      </c>
      <c r="G190" s="55">
        <f t="shared" si="16"/>
        <v>107.9754</v>
      </c>
      <c r="H190" s="55">
        <f>G190*'Тарифные ставки'!$B$13</f>
        <v>278.576532</v>
      </c>
      <c r="I190" s="55">
        <f>H190*'Тарифные ставки'!$B$14*'Тарифные ставки'!$B$15</f>
        <v>337.634756784</v>
      </c>
      <c r="J190" s="102"/>
      <c r="K190" s="150">
        <v>549.45981675</v>
      </c>
      <c r="L190" s="13"/>
    </row>
    <row r="191" spans="1:12" ht="31.5" hidden="1">
      <c r="A191" s="136" t="s">
        <v>2026</v>
      </c>
      <c r="B191" s="61" t="s">
        <v>1665</v>
      </c>
      <c r="C191" s="61" t="s">
        <v>1685</v>
      </c>
      <c r="D191" s="254" t="s">
        <v>847</v>
      </c>
      <c r="E191" s="101">
        <v>85.02</v>
      </c>
      <c r="F191" s="55">
        <v>1.27</v>
      </c>
      <c r="G191" s="55">
        <f t="shared" si="16"/>
        <v>107.9754</v>
      </c>
      <c r="H191" s="55">
        <f>G191*'Тарифные ставки'!$B$13</f>
        <v>278.576532</v>
      </c>
      <c r="I191" s="55">
        <f>H191*'Тарифные ставки'!$B$14*'Тарифные ставки'!$B$15</f>
        <v>337.634756784</v>
      </c>
      <c r="J191" s="102"/>
      <c r="K191" s="150">
        <v>549.45981675</v>
      </c>
      <c r="L191" s="13"/>
    </row>
    <row r="192" spans="1:12" ht="47.25" hidden="1">
      <c r="A192" s="133" t="s">
        <v>544</v>
      </c>
      <c r="B192" s="31" t="s">
        <v>1662</v>
      </c>
      <c r="C192" s="31" t="s">
        <v>1677</v>
      </c>
      <c r="D192" s="256" t="s">
        <v>847</v>
      </c>
      <c r="E192" s="101">
        <v>85.02</v>
      </c>
      <c r="F192" s="48">
        <f>0.47+0.48</f>
        <v>0.95</v>
      </c>
      <c r="G192" s="48">
        <f aca="true" t="shared" si="17" ref="G192:G203">E192*F192</f>
        <v>80.76899999999999</v>
      </c>
      <c r="H192" s="48">
        <f>G192*'Тарифные ставки'!$B$13</f>
        <v>208.38402</v>
      </c>
      <c r="I192" s="48">
        <f>H192*'Тарифные ставки'!$B$14*'Тарифные ставки'!$B$15</f>
        <v>252.56143224</v>
      </c>
      <c r="J192" s="104"/>
      <c r="K192" s="150">
        <v>411.01324874999995</v>
      </c>
      <c r="L192" s="13"/>
    </row>
    <row r="193" spans="1:12" ht="15.75" hidden="1">
      <c r="A193" s="134"/>
      <c r="B193" s="41" t="s">
        <v>709</v>
      </c>
      <c r="C193" s="51"/>
      <c r="D193" s="100"/>
      <c r="E193" s="109">
        <v>85.02</v>
      </c>
      <c r="F193" s="44">
        <v>2</v>
      </c>
      <c r="G193" s="44">
        <f>E193*F193</f>
        <v>170.04</v>
      </c>
      <c r="H193" s="44">
        <f>G193*'Тарифные ставки'!$B$13</f>
        <v>438.7032</v>
      </c>
      <c r="I193" s="44">
        <f>H193*'Тарифные ставки'!$B$14*'Тарифные ставки'!$B$15</f>
        <v>531.7082783999999</v>
      </c>
      <c r="J193" s="150"/>
      <c r="K193" s="150">
        <v>865.2910499999999</v>
      </c>
      <c r="L193" s="13"/>
    </row>
    <row r="194" spans="1:12" ht="15.75" hidden="1">
      <c r="A194" s="134"/>
      <c r="B194" s="41" t="s">
        <v>710</v>
      </c>
      <c r="C194" s="51"/>
      <c r="D194" s="100"/>
      <c r="E194" s="109">
        <v>85.02</v>
      </c>
      <c r="F194" s="44">
        <v>3</v>
      </c>
      <c r="G194" s="44">
        <f>E194*F194</f>
        <v>255.06</v>
      </c>
      <c r="H194" s="44">
        <f>G194*'Тарифные ставки'!$B$13</f>
        <v>658.0548</v>
      </c>
      <c r="I194" s="44">
        <f>H194*'Тарифные ставки'!$B$14*'Тарифные ставки'!$B$15</f>
        <v>797.5624176</v>
      </c>
      <c r="J194" s="150"/>
      <c r="K194" s="150">
        <v>1297.9365750000002</v>
      </c>
      <c r="L194" s="13"/>
    </row>
    <row r="195" spans="1:12" ht="15.75" hidden="1">
      <c r="A195" s="135"/>
      <c r="B195" s="42" t="s">
        <v>711</v>
      </c>
      <c r="C195" s="52"/>
      <c r="D195" s="100"/>
      <c r="E195" s="109">
        <v>85.02</v>
      </c>
      <c r="F195" s="47">
        <f>1.87*2</f>
        <v>3.74</v>
      </c>
      <c r="G195" s="47">
        <f>E195*F195</f>
        <v>317.9748</v>
      </c>
      <c r="H195" s="47">
        <f>G195*'Тарифные ставки'!$B$13</f>
        <v>820.374984</v>
      </c>
      <c r="I195" s="47">
        <f>H195*'Тарифные ставки'!$B$14*'Тарифные ставки'!$B$15</f>
        <v>994.294480608</v>
      </c>
      <c r="J195" s="106"/>
      <c r="K195" s="150">
        <v>1618.0942635000004</v>
      </c>
      <c r="L195" s="13"/>
    </row>
    <row r="196" spans="1:12" ht="31.5" hidden="1">
      <c r="A196" s="136" t="s">
        <v>699</v>
      </c>
      <c r="B196" s="61" t="s">
        <v>712</v>
      </c>
      <c r="C196" s="61" t="s">
        <v>713</v>
      </c>
      <c r="D196" s="254" t="s">
        <v>847</v>
      </c>
      <c r="E196" s="101">
        <v>85.02</v>
      </c>
      <c r="F196" s="55">
        <f>5.83*2</f>
        <v>11.66</v>
      </c>
      <c r="G196" s="55">
        <f t="shared" si="17"/>
        <v>991.3331999999999</v>
      </c>
      <c r="H196" s="55">
        <f>G196*'Тарифные ставки'!$B$13</f>
        <v>2557.639656</v>
      </c>
      <c r="I196" s="55">
        <f>H196*'Тарифные ставки'!$B$14*'Тарифные ставки'!$B$15</f>
        <v>3099.8592630719995</v>
      </c>
      <c r="J196" s="102"/>
      <c r="K196" s="150">
        <v>5044.6468214999995</v>
      </c>
      <c r="L196" s="13"/>
    </row>
    <row r="197" spans="1:12" ht="47.25" hidden="1">
      <c r="A197" s="136" t="s">
        <v>700</v>
      </c>
      <c r="B197" s="61" t="s">
        <v>1555</v>
      </c>
      <c r="C197" s="61" t="s">
        <v>713</v>
      </c>
      <c r="D197" s="254" t="s">
        <v>847</v>
      </c>
      <c r="E197" s="101">
        <v>85.02</v>
      </c>
      <c r="F197" s="55">
        <v>11.66</v>
      </c>
      <c r="G197" s="55">
        <f t="shared" si="17"/>
        <v>991.3331999999999</v>
      </c>
      <c r="H197" s="55">
        <f>G197*'Тарифные ставки'!$B$13</f>
        <v>2557.639656</v>
      </c>
      <c r="I197" s="55">
        <f>H197*'Тарифные ставки'!$B$14*'Тарифные ставки'!$B$15</f>
        <v>3099.8592630719995</v>
      </c>
      <c r="J197" s="102"/>
      <c r="K197" s="150">
        <v>5044.6468214999995</v>
      </c>
      <c r="L197" s="13"/>
    </row>
    <row r="198" spans="1:12" ht="31.5" hidden="1">
      <c r="A198" s="136" t="s">
        <v>701</v>
      </c>
      <c r="B198" s="61" t="s">
        <v>1556</v>
      </c>
      <c r="C198" s="61" t="s">
        <v>713</v>
      </c>
      <c r="D198" s="254" t="s">
        <v>847</v>
      </c>
      <c r="E198" s="101">
        <v>85.02</v>
      </c>
      <c r="F198" s="55">
        <f>3.6*2</f>
        <v>7.2</v>
      </c>
      <c r="G198" s="55">
        <f t="shared" si="17"/>
        <v>612.144</v>
      </c>
      <c r="H198" s="55">
        <f>G198*'Тарифные ставки'!$B$13</f>
        <v>1579.33152</v>
      </c>
      <c r="I198" s="55">
        <f>H198*'Тарифные ставки'!$B$14*'Тарифные ставки'!$B$15</f>
        <v>1914.1498022399999</v>
      </c>
      <c r="J198" s="102"/>
      <c r="K198" s="150">
        <v>3115.04778</v>
      </c>
      <c r="L198" s="13"/>
    </row>
    <row r="199" spans="1:12" ht="47.25" hidden="1">
      <c r="A199" s="136" t="s">
        <v>702</v>
      </c>
      <c r="B199" s="61" t="s">
        <v>1557</v>
      </c>
      <c r="C199" s="61" t="s">
        <v>713</v>
      </c>
      <c r="D199" s="254" t="s">
        <v>847</v>
      </c>
      <c r="E199" s="101">
        <v>85.02</v>
      </c>
      <c r="F199" s="55">
        <v>7.2</v>
      </c>
      <c r="G199" s="55">
        <f t="shared" si="17"/>
        <v>612.144</v>
      </c>
      <c r="H199" s="55">
        <f>G199*'Тарифные ставки'!$B$13</f>
        <v>1579.33152</v>
      </c>
      <c r="I199" s="55">
        <f>H199*'Тарифные ставки'!$B$14*'Тарифные ставки'!$B$15</f>
        <v>1914.1498022399999</v>
      </c>
      <c r="J199" s="102"/>
      <c r="K199" s="150">
        <v>3115.04778</v>
      </c>
      <c r="L199" s="13"/>
    </row>
    <row r="200" spans="1:12" ht="47.25" hidden="1">
      <c r="A200" s="136" t="s">
        <v>703</v>
      </c>
      <c r="B200" s="61" t="s">
        <v>1666</v>
      </c>
      <c r="C200" s="61" t="s">
        <v>713</v>
      </c>
      <c r="D200" s="254" t="s">
        <v>847</v>
      </c>
      <c r="E200" s="101">
        <v>85.02</v>
      </c>
      <c r="F200" s="55">
        <f>3.31*2</f>
        <v>6.62</v>
      </c>
      <c r="G200" s="55">
        <f t="shared" si="17"/>
        <v>562.8324</v>
      </c>
      <c r="H200" s="55">
        <f>G200*'Тарифные ставки'!$B$13</f>
        <v>1452.107592</v>
      </c>
      <c r="I200" s="55">
        <f>H200*'Тарифные ставки'!$B$14*'Тарифные ставки'!$B$15</f>
        <v>1759.9544015039999</v>
      </c>
      <c r="J200" s="102"/>
      <c r="K200" s="150">
        <v>2864.1133754999996</v>
      </c>
      <c r="L200" s="13"/>
    </row>
    <row r="201" spans="1:12" ht="47.25" hidden="1">
      <c r="A201" s="136" t="s">
        <v>704</v>
      </c>
      <c r="B201" s="61" t="s">
        <v>1667</v>
      </c>
      <c r="C201" s="61" t="s">
        <v>713</v>
      </c>
      <c r="D201" s="254" t="s">
        <v>847</v>
      </c>
      <c r="E201" s="101">
        <v>85.02</v>
      </c>
      <c r="F201" s="55">
        <v>6.62</v>
      </c>
      <c r="G201" s="55">
        <f t="shared" si="17"/>
        <v>562.8324</v>
      </c>
      <c r="H201" s="55">
        <f>G201*'Тарифные ставки'!$B$13</f>
        <v>1452.107592</v>
      </c>
      <c r="I201" s="55">
        <f>H201*'Тарифные ставки'!$B$14*'Тарифные ставки'!$B$15</f>
        <v>1759.9544015039999</v>
      </c>
      <c r="J201" s="102"/>
      <c r="K201" s="150">
        <v>2864.1133754999996</v>
      </c>
      <c r="L201" s="13"/>
    </row>
    <row r="202" spans="1:12" ht="31.5" hidden="1">
      <c r="A202" s="136" t="s">
        <v>705</v>
      </c>
      <c r="B202" s="61" t="s">
        <v>1668</v>
      </c>
      <c r="C202" s="61" t="s">
        <v>713</v>
      </c>
      <c r="D202" s="254" t="s">
        <v>847</v>
      </c>
      <c r="E202" s="101">
        <v>85.02</v>
      </c>
      <c r="F202" s="55">
        <f>14.75*2</f>
        <v>29.5</v>
      </c>
      <c r="G202" s="55">
        <f t="shared" si="17"/>
        <v>2508.0899999999997</v>
      </c>
      <c r="H202" s="55">
        <f>G202*'Тарифные ставки'!$B$13</f>
        <v>6470.8722</v>
      </c>
      <c r="I202" s="55">
        <f>H202*'Тарифные ставки'!$B$14*'Тарифные ставки'!$B$15</f>
        <v>7842.6971064</v>
      </c>
      <c r="J202" s="102"/>
      <c r="K202" s="150">
        <v>12763.042987499999</v>
      </c>
      <c r="L202" s="13"/>
    </row>
    <row r="203" spans="1:12" ht="31.5" hidden="1">
      <c r="A203" s="136" t="s">
        <v>706</v>
      </c>
      <c r="B203" s="61" t="s">
        <v>1558</v>
      </c>
      <c r="C203" s="61" t="s">
        <v>713</v>
      </c>
      <c r="D203" s="254" t="s">
        <v>847</v>
      </c>
      <c r="E203" s="101">
        <v>85.02</v>
      </c>
      <c r="F203" s="55">
        <v>29.5</v>
      </c>
      <c r="G203" s="55">
        <f t="shared" si="17"/>
        <v>2508.0899999999997</v>
      </c>
      <c r="H203" s="55">
        <f>G203*'Тарифные ставки'!$B$13</f>
        <v>6470.8722</v>
      </c>
      <c r="I203" s="55">
        <f>H203*'Тарифные ставки'!$B$14*'Тарифные ставки'!$B$15</f>
        <v>7842.6971064</v>
      </c>
      <c r="J203" s="102"/>
      <c r="K203" s="150">
        <v>12763.042987499999</v>
      </c>
      <c r="L203" s="13"/>
    </row>
    <row r="204" spans="1:12" ht="47.25" hidden="1">
      <c r="A204" s="133" t="s">
        <v>707</v>
      </c>
      <c r="B204" s="31" t="s">
        <v>2033</v>
      </c>
      <c r="C204" s="31" t="s">
        <v>1677</v>
      </c>
      <c r="D204" s="256" t="s">
        <v>847</v>
      </c>
      <c r="E204" s="101">
        <v>85.02</v>
      </c>
      <c r="F204" s="48">
        <f>0.41</f>
        <v>0.41</v>
      </c>
      <c r="G204" s="48">
        <f aca="true" t="shared" si="18" ref="G204:G211">E204*F204</f>
        <v>34.8582</v>
      </c>
      <c r="H204" s="48">
        <f>G204*'Тарифные ставки'!$B$13</f>
        <v>89.93415599999999</v>
      </c>
      <c r="I204" s="48">
        <f>H204*'Тарифные ставки'!$B$14*'Тарифные ставки'!$B$15</f>
        <v>109.00019707199998</v>
      </c>
      <c r="J204" s="104"/>
      <c r="K204" s="150">
        <v>177.38466524999998</v>
      </c>
      <c r="L204" s="13"/>
    </row>
    <row r="205" spans="1:12" ht="15.75" hidden="1">
      <c r="A205" s="134"/>
      <c r="B205" s="41" t="s">
        <v>709</v>
      </c>
      <c r="C205" s="51"/>
      <c r="D205" s="100"/>
      <c r="E205" s="109">
        <v>85.02</v>
      </c>
      <c r="F205" s="44">
        <f>0.93*2</f>
        <v>1.86</v>
      </c>
      <c r="G205" s="44">
        <f t="shared" si="18"/>
        <v>158.1372</v>
      </c>
      <c r="H205" s="44">
        <f>G205*'Тарифные ставки'!$B$13</f>
        <v>407.99397600000003</v>
      </c>
      <c r="I205" s="44">
        <f>H205*'Тарифные ставки'!$B$14*'Тарифные ставки'!$B$15</f>
        <v>494.488698912</v>
      </c>
      <c r="J205" s="150"/>
      <c r="K205" s="150">
        <v>804.7206765</v>
      </c>
      <c r="L205" s="13"/>
    </row>
    <row r="206" spans="1:12" ht="15.75" hidden="1">
      <c r="A206" s="134"/>
      <c r="B206" s="41" t="s">
        <v>710</v>
      </c>
      <c r="C206" s="51"/>
      <c r="D206" s="100"/>
      <c r="E206" s="109">
        <v>85.02</v>
      </c>
      <c r="F206" s="44">
        <f>1.37*2</f>
        <v>2.74</v>
      </c>
      <c r="G206" s="44">
        <f t="shared" si="18"/>
        <v>232.9548</v>
      </c>
      <c r="H206" s="44">
        <f>G206*'Тарифные ставки'!$B$13</f>
        <v>601.0233840000001</v>
      </c>
      <c r="I206" s="44">
        <f>H206*'Тарифные ставки'!$B$14*'Тарифные ставки'!$B$15</f>
        <v>728.440341408</v>
      </c>
      <c r="J206" s="150"/>
      <c r="K206" s="150">
        <v>1185.4487385</v>
      </c>
      <c r="L206" s="13"/>
    </row>
    <row r="207" spans="1:12" ht="15.75" hidden="1">
      <c r="A207" s="135"/>
      <c r="B207" s="42" t="s">
        <v>711</v>
      </c>
      <c r="C207" s="52"/>
      <c r="D207" s="100"/>
      <c r="E207" s="109">
        <v>85.02</v>
      </c>
      <c r="F207" s="47">
        <f>1.73*2</f>
        <v>3.46</v>
      </c>
      <c r="G207" s="47">
        <f t="shared" si="18"/>
        <v>294.1692</v>
      </c>
      <c r="H207" s="47">
        <f>G207*'Тарифные ставки'!$B$13</f>
        <v>758.956536</v>
      </c>
      <c r="I207" s="47">
        <f>H207*'Тарифные ставки'!$B$14*'Тарифные ставки'!$B$15</f>
        <v>919.855321632</v>
      </c>
      <c r="J207" s="106"/>
      <c r="K207" s="150">
        <v>1496.9535165</v>
      </c>
      <c r="L207" s="13"/>
    </row>
    <row r="208" spans="1:12" ht="31.5" hidden="1">
      <c r="A208" s="136" t="s">
        <v>708</v>
      </c>
      <c r="B208" s="61" t="s">
        <v>1669</v>
      </c>
      <c r="C208" s="61" t="s">
        <v>1677</v>
      </c>
      <c r="D208" s="254" t="s">
        <v>847</v>
      </c>
      <c r="E208" s="101">
        <v>85.02</v>
      </c>
      <c r="F208" s="55">
        <f>1.22+1.23</f>
        <v>2.45</v>
      </c>
      <c r="G208" s="55">
        <f t="shared" si="18"/>
        <v>208.299</v>
      </c>
      <c r="H208" s="55">
        <f>G208*'Тарифные ставки'!$B$13</f>
        <v>537.41142</v>
      </c>
      <c r="I208" s="55">
        <f>H208*'Тарифные ставки'!$B$14*'Тарифные ставки'!$B$15</f>
        <v>651.34264104</v>
      </c>
      <c r="J208" s="102"/>
      <c r="K208" s="150">
        <v>1059.98153625</v>
      </c>
      <c r="L208" s="13"/>
    </row>
    <row r="209" spans="1:12" ht="31.5" hidden="1">
      <c r="A209" s="136" t="s">
        <v>2034</v>
      </c>
      <c r="B209" s="61" t="s">
        <v>677</v>
      </c>
      <c r="C209" s="61" t="s">
        <v>1677</v>
      </c>
      <c r="D209" s="254" t="s">
        <v>847</v>
      </c>
      <c r="E209" s="101">
        <v>85.02</v>
      </c>
      <c r="F209" s="55">
        <f>1.65+1.66</f>
        <v>3.3099999999999996</v>
      </c>
      <c r="G209" s="55">
        <f t="shared" si="18"/>
        <v>281.41619999999995</v>
      </c>
      <c r="H209" s="55">
        <f>G209*'Тарифные ставки'!$B$13</f>
        <v>726.0537959999999</v>
      </c>
      <c r="I209" s="55">
        <f>H209*'Тарифные ставки'!$B$14*'Тарифные ставки'!$B$15</f>
        <v>879.9772007519998</v>
      </c>
      <c r="J209" s="102"/>
      <c r="K209" s="150">
        <v>1432.0566877499998</v>
      </c>
      <c r="L209" s="13"/>
    </row>
    <row r="210" spans="1:12" ht="31.5" hidden="1">
      <c r="A210" s="136" t="s">
        <v>2035</v>
      </c>
      <c r="B210" s="61" t="s">
        <v>678</v>
      </c>
      <c r="C210" s="61" t="s">
        <v>1670</v>
      </c>
      <c r="D210" s="254" t="s">
        <v>847</v>
      </c>
      <c r="E210" s="101">
        <v>85.02</v>
      </c>
      <c r="F210" s="55">
        <f>2.23*2</f>
        <v>4.46</v>
      </c>
      <c r="G210" s="55">
        <f t="shared" si="18"/>
        <v>379.18919999999997</v>
      </c>
      <c r="H210" s="55">
        <f>G210*'Тарифные ставки'!$B$13</f>
        <v>978.308136</v>
      </c>
      <c r="I210" s="55">
        <f>H210*'Тарифные ставки'!$B$14*'Тарифные ставки'!$B$15</f>
        <v>1185.7094608319999</v>
      </c>
      <c r="J210" s="102"/>
      <c r="K210" s="150">
        <v>1929.5990414999997</v>
      </c>
      <c r="L210" s="13"/>
    </row>
    <row r="211" spans="1:12" ht="47.25" hidden="1">
      <c r="A211" s="136" t="s">
        <v>2036</v>
      </c>
      <c r="B211" s="61" t="s">
        <v>1306</v>
      </c>
      <c r="C211" s="61" t="s">
        <v>1670</v>
      </c>
      <c r="D211" s="254" t="s">
        <v>847</v>
      </c>
      <c r="E211" s="101">
        <v>85.02</v>
      </c>
      <c r="F211" s="55">
        <v>4.46</v>
      </c>
      <c r="G211" s="55">
        <f t="shared" si="18"/>
        <v>379.18919999999997</v>
      </c>
      <c r="H211" s="55">
        <f>G211*'Тарифные ставки'!$B$13</f>
        <v>978.308136</v>
      </c>
      <c r="I211" s="55">
        <f>H211*'Тарифные ставки'!$B$14*'Тарифные ставки'!$B$15</f>
        <v>1185.7094608319999</v>
      </c>
      <c r="J211" s="102"/>
      <c r="K211" s="150">
        <v>1929.5990414999997</v>
      </c>
      <c r="L211" s="13"/>
    </row>
    <row r="212" spans="1:12" ht="31.5" hidden="1">
      <c r="A212" s="136" t="s">
        <v>1307</v>
      </c>
      <c r="B212" s="61" t="s">
        <v>93</v>
      </c>
      <c r="C212" s="61" t="s">
        <v>1670</v>
      </c>
      <c r="D212" s="254" t="s">
        <v>847</v>
      </c>
      <c r="E212" s="101">
        <v>85.02</v>
      </c>
      <c r="F212" s="55">
        <f>3.17*2</f>
        <v>6.34</v>
      </c>
      <c r="G212" s="55">
        <f aca="true" t="shared" si="19" ref="G212:G225">E212*F212</f>
        <v>539.0268</v>
      </c>
      <c r="H212" s="55">
        <f>G212*'Тарифные ставки'!$B$13</f>
        <v>1390.689144</v>
      </c>
      <c r="I212" s="55">
        <f>H212*'Тарифные ставки'!$B$14*'Тарифные ставки'!$B$15</f>
        <v>1685.5152425279998</v>
      </c>
      <c r="J212" s="102"/>
      <c r="K212" s="150">
        <v>2742.9726284999997</v>
      </c>
      <c r="L212" s="13"/>
    </row>
    <row r="213" spans="1:12" ht="31.5" hidden="1">
      <c r="A213" s="136" t="s">
        <v>1308</v>
      </c>
      <c r="B213" s="61" t="s">
        <v>94</v>
      </c>
      <c r="C213" s="61" t="s">
        <v>1670</v>
      </c>
      <c r="D213" s="254" t="s">
        <v>847</v>
      </c>
      <c r="E213" s="101">
        <v>85.02</v>
      </c>
      <c r="F213" s="55">
        <v>6.34</v>
      </c>
      <c r="G213" s="55">
        <f t="shared" si="19"/>
        <v>539.0268</v>
      </c>
      <c r="H213" s="55">
        <f>G213*'Тарифные ставки'!$B$13</f>
        <v>1390.689144</v>
      </c>
      <c r="I213" s="55">
        <f>H213*'Тарифные ставки'!$B$14*'Тарифные ставки'!$B$15</f>
        <v>1685.5152425279998</v>
      </c>
      <c r="J213" s="102"/>
      <c r="K213" s="150">
        <v>2742.9726284999997</v>
      </c>
      <c r="L213" s="13"/>
    </row>
    <row r="214" spans="1:12" ht="63" hidden="1">
      <c r="A214" s="136" t="s">
        <v>1309</v>
      </c>
      <c r="B214" s="61" t="s">
        <v>95</v>
      </c>
      <c r="C214" s="61" t="s">
        <v>96</v>
      </c>
      <c r="D214" s="254" t="s">
        <v>847</v>
      </c>
      <c r="E214" s="101">
        <v>85.02</v>
      </c>
      <c r="F214" s="55">
        <v>4.6</v>
      </c>
      <c r="G214" s="55">
        <f t="shared" si="19"/>
        <v>391.0919999999999</v>
      </c>
      <c r="H214" s="55">
        <f>G214*'Тарифные ставки'!$B$13</f>
        <v>1009.0173599999998</v>
      </c>
      <c r="I214" s="55">
        <f>H214*'Тарифные ставки'!$B$14*'Тарифные ставки'!$B$15</f>
        <v>1222.9290403199998</v>
      </c>
      <c r="J214" s="102"/>
      <c r="K214" s="150">
        <v>1990.1694149999994</v>
      </c>
      <c r="L214" s="13"/>
    </row>
    <row r="215" spans="1:12" ht="63" hidden="1">
      <c r="A215" s="136" t="s">
        <v>1310</v>
      </c>
      <c r="B215" s="61" t="s">
        <v>2283</v>
      </c>
      <c r="C215" s="61" t="s">
        <v>96</v>
      </c>
      <c r="D215" s="254" t="s">
        <v>847</v>
      </c>
      <c r="E215" s="101">
        <v>85.02</v>
      </c>
      <c r="F215" s="55">
        <v>3.8</v>
      </c>
      <c r="G215" s="55">
        <f t="shared" si="19"/>
        <v>323.07599999999996</v>
      </c>
      <c r="H215" s="55">
        <f>G215*'Тарифные ставки'!$B$13</f>
        <v>833.53608</v>
      </c>
      <c r="I215" s="55">
        <f>H215*'Тарифные ставки'!$B$14*'Тарифные ставки'!$B$15</f>
        <v>1010.24572896</v>
      </c>
      <c r="J215" s="102"/>
      <c r="K215" s="150">
        <v>1644.0529949999998</v>
      </c>
      <c r="L215" s="13"/>
    </row>
    <row r="216" spans="1:12" ht="63" hidden="1">
      <c r="A216" s="133" t="s">
        <v>1311</v>
      </c>
      <c r="B216" s="31" t="s">
        <v>2284</v>
      </c>
      <c r="C216" s="31" t="s">
        <v>96</v>
      </c>
      <c r="D216" s="256" t="s">
        <v>847</v>
      </c>
      <c r="E216" s="103">
        <v>85.02</v>
      </c>
      <c r="F216" s="48">
        <v>5</v>
      </c>
      <c r="G216" s="48">
        <f t="shared" si="19"/>
        <v>425.09999999999997</v>
      </c>
      <c r="H216" s="48">
        <f>G216*'Тарифные ставки'!$B$13</f>
        <v>1096.758</v>
      </c>
      <c r="I216" s="48">
        <f>H216*'Тарифные ставки'!$B$14*'Тарифные ставки'!$B$15</f>
        <v>1329.270696</v>
      </c>
      <c r="J216" s="104"/>
      <c r="K216" s="150">
        <v>2163.227625</v>
      </c>
      <c r="L216" s="13"/>
    </row>
    <row r="217" spans="1:12" ht="47.25">
      <c r="A217" s="136" t="s">
        <v>1312</v>
      </c>
      <c r="B217" s="61" t="s">
        <v>2465</v>
      </c>
      <c r="C217" s="61" t="s">
        <v>1859</v>
      </c>
      <c r="D217" s="254" t="s">
        <v>847</v>
      </c>
      <c r="E217" s="101">
        <f>'Тарифные ставки'!$B$8</f>
        <v>148.16025</v>
      </c>
      <c r="F217" s="55">
        <v>0.72</v>
      </c>
      <c r="G217" s="55">
        <f t="shared" si="19"/>
        <v>106.67537999999999</v>
      </c>
      <c r="H217" s="55">
        <f>G217*'Тарифные ставки'!$B$13</f>
        <v>275.2224804</v>
      </c>
      <c r="I217" s="55">
        <f>H217*'Тарифные ставки'!$B$14*'Тарифные ставки'!$B$15</f>
        <v>333.56964624479997</v>
      </c>
      <c r="J217" s="493">
        <f>I217-I217/'Тарифные ставки'!$B$15</f>
        <v>55.594941040799995</v>
      </c>
      <c r="K217" s="102">
        <v>311.504778</v>
      </c>
      <c r="L217" s="498">
        <f>I217/K217*100-100</f>
        <v>7.083316148942018</v>
      </c>
    </row>
    <row r="218" spans="1:10" ht="31.5" hidden="1">
      <c r="A218" s="136" t="s">
        <v>1313</v>
      </c>
      <c r="B218" s="61" t="s">
        <v>1671</v>
      </c>
      <c r="C218" s="61" t="s">
        <v>1859</v>
      </c>
      <c r="D218" s="254" t="s">
        <v>847</v>
      </c>
      <c r="E218" s="101">
        <v>85.02</v>
      </c>
      <c r="F218" s="55">
        <f>0.75*2</f>
        <v>1.5</v>
      </c>
      <c r="G218" s="55">
        <f t="shared" si="19"/>
        <v>127.53</v>
      </c>
      <c r="H218" s="55">
        <f>G218*'Тарифные ставки'!$B$13</f>
        <v>329.0274</v>
      </c>
      <c r="I218" s="55">
        <f>H218*'Тарифные ставки'!$B$14*'Тарифные ставки'!$B$15</f>
        <v>398.7812088</v>
      </c>
      <c r="J218" s="48">
        <f aca="true" t="shared" si="20" ref="J218:J242">H218*1.1*0.18</f>
        <v>65.1474252</v>
      </c>
    </row>
    <row r="219" spans="1:10" ht="47.25" customHeight="1" hidden="1">
      <c r="A219" s="136" t="s">
        <v>1314</v>
      </c>
      <c r="B219" s="61" t="s">
        <v>2285</v>
      </c>
      <c r="C219" s="61" t="s">
        <v>1696</v>
      </c>
      <c r="D219" s="254" t="s">
        <v>847</v>
      </c>
      <c r="E219" s="101">
        <v>85.02</v>
      </c>
      <c r="F219" s="55">
        <v>8</v>
      </c>
      <c r="G219" s="55">
        <f t="shared" si="19"/>
        <v>680.16</v>
      </c>
      <c r="H219" s="55">
        <f>G219*'Тарифные ставки'!$B$13</f>
        <v>1754.8128</v>
      </c>
      <c r="I219" s="55">
        <f>H219*'Тарифные ставки'!$B$14*'Тарифные ставки'!$B$15</f>
        <v>2126.8331135999997</v>
      </c>
      <c r="J219" s="48">
        <f t="shared" si="20"/>
        <v>347.4529344</v>
      </c>
    </row>
    <row r="220" spans="1:10" ht="31.5" hidden="1">
      <c r="A220" s="136" t="s">
        <v>1315</v>
      </c>
      <c r="B220" s="61" t="s">
        <v>2286</v>
      </c>
      <c r="C220" s="61" t="s">
        <v>2287</v>
      </c>
      <c r="D220" s="254" t="s">
        <v>847</v>
      </c>
      <c r="E220" s="101">
        <v>85.02</v>
      </c>
      <c r="F220" s="55">
        <v>4.1</v>
      </c>
      <c r="G220" s="55">
        <f t="shared" si="19"/>
        <v>348.58199999999994</v>
      </c>
      <c r="H220" s="55">
        <f>G220*'Тарифные ставки'!$B$13</f>
        <v>899.3415599999998</v>
      </c>
      <c r="I220" s="55">
        <f>H220*'Тарифные ставки'!$B$14*'Тарифные ставки'!$B$15</f>
        <v>1090.00197072</v>
      </c>
      <c r="J220" s="48">
        <f t="shared" si="20"/>
        <v>178.06962887999998</v>
      </c>
    </row>
    <row r="221" spans="1:10" ht="31.5" hidden="1">
      <c r="A221" s="136" t="s">
        <v>1316</v>
      </c>
      <c r="B221" s="61" t="s">
        <v>2288</v>
      </c>
      <c r="C221" s="61" t="s">
        <v>713</v>
      </c>
      <c r="D221" s="254" t="s">
        <v>847</v>
      </c>
      <c r="E221" s="101">
        <v>85.02</v>
      </c>
      <c r="F221" s="55">
        <f>0.83+0.94</f>
        <v>1.77</v>
      </c>
      <c r="G221" s="55">
        <f t="shared" si="19"/>
        <v>150.4854</v>
      </c>
      <c r="H221" s="55">
        <f>G221*'Тарифные ставки'!$B$13</f>
        <v>388.252332</v>
      </c>
      <c r="I221" s="55">
        <f>H221*'Тарифные ставки'!$B$14*'Тарифные ставки'!$B$15</f>
        <v>470.561826384</v>
      </c>
      <c r="J221" s="48">
        <f t="shared" si="20"/>
        <v>76.873961736</v>
      </c>
    </row>
    <row r="222" spans="1:10" ht="15.75" hidden="1">
      <c r="A222" s="136" t="s">
        <v>1317</v>
      </c>
      <c r="B222" s="61" t="s">
        <v>2289</v>
      </c>
      <c r="C222" s="61" t="s">
        <v>2290</v>
      </c>
      <c r="D222" s="254" t="s">
        <v>847</v>
      </c>
      <c r="E222" s="101">
        <v>85.02</v>
      </c>
      <c r="F222" s="55">
        <f>0.79*2</f>
        <v>1.58</v>
      </c>
      <c r="G222" s="55">
        <f t="shared" si="19"/>
        <v>134.3316</v>
      </c>
      <c r="H222" s="55">
        <f>G222*'Тарифные ставки'!$B$13</f>
        <v>346.575528</v>
      </c>
      <c r="I222" s="55">
        <f>H222*'Тарифные ставки'!$B$14*'Тарифные ставки'!$B$15</f>
        <v>420.04953993600003</v>
      </c>
      <c r="J222" s="48">
        <f t="shared" si="20"/>
        <v>68.621954544</v>
      </c>
    </row>
    <row r="223" spans="1:10" ht="15.75" hidden="1">
      <c r="A223" s="136" t="s">
        <v>1318</v>
      </c>
      <c r="B223" s="61" t="s">
        <v>2291</v>
      </c>
      <c r="C223" s="61" t="s">
        <v>2292</v>
      </c>
      <c r="D223" s="254" t="s">
        <v>847</v>
      </c>
      <c r="E223" s="101">
        <v>85.02</v>
      </c>
      <c r="F223" s="55">
        <v>0.63</v>
      </c>
      <c r="G223" s="55">
        <f t="shared" si="19"/>
        <v>53.562599999999996</v>
      </c>
      <c r="H223" s="55">
        <f>G223*'Тарифные ставки'!$B$13</f>
        <v>138.191508</v>
      </c>
      <c r="I223" s="55">
        <f>H223*'Тарифные ставки'!$B$14*'Тарифные ставки'!$B$15</f>
        <v>167.488107696</v>
      </c>
      <c r="J223" s="48">
        <f t="shared" si="20"/>
        <v>27.361918584</v>
      </c>
    </row>
    <row r="224" spans="1:10" ht="31.5" hidden="1">
      <c r="A224" s="136" t="s">
        <v>1319</v>
      </c>
      <c r="B224" s="61" t="s">
        <v>2293</v>
      </c>
      <c r="C224" s="61" t="s">
        <v>2294</v>
      </c>
      <c r="D224" s="254" t="s">
        <v>847</v>
      </c>
      <c r="E224" s="101">
        <v>85.02</v>
      </c>
      <c r="F224" s="55">
        <v>1.44</v>
      </c>
      <c r="G224" s="55">
        <f t="shared" si="19"/>
        <v>122.4288</v>
      </c>
      <c r="H224" s="55">
        <f>G224*'Тарифные ставки'!$B$13</f>
        <v>315.866304</v>
      </c>
      <c r="I224" s="55">
        <f>H224*'Тарифные ставки'!$B$14*'Тарифные ставки'!$B$15</f>
        <v>382.829960448</v>
      </c>
      <c r="J224" s="48">
        <f t="shared" si="20"/>
        <v>62.54152819200001</v>
      </c>
    </row>
    <row r="225" spans="1:10" ht="47.25" hidden="1">
      <c r="A225" s="136" t="s">
        <v>1320</v>
      </c>
      <c r="B225" s="61" t="s">
        <v>2295</v>
      </c>
      <c r="C225" s="61" t="s">
        <v>2296</v>
      </c>
      <c r="D225" s="254" t="s">
        <v>847</v>
      </c>
      <c r="E225" s="101">
        <v>85.02</v>
      </c>
      <c r="F225" s="55">
        <v>6.5</v>
      </c>
      <c r="G225" s="55">
        <f t="shared" si="19"/>
        <v>552.63</v>
      </c>
      <c r="H225" s="55">
        <f>G225*'Тарифные ставки'!$B$13</f>
        <v>1425.7854</v>
      </c>
      <c r="I225" s="55">
        <f>H225*'Тарифные ставки'!$B$14*'Тарифные ставки'!$B$15</f>
        <v>1728.0519047999999</v>
      </c>
      <c r="J225" s="48">
        <f t="shared" si="20"/>
        <v>282.3055092</v>
      </c>
    </row>
    <row r="226" spans="1:10" ht="15.75" hidden="1">
      <c r="A226" s="136" t="s">
        <v>2297</v>
      </c>
      <c r="B226" s="61" t="s">
        <v>89</v>
      </c>
      <c r="C226" s="61" t="s">
        <v>1851</v>
      </c>
      <c r="D226" s="254" t="s">
        <v>2308</v>
      </c>
      <c r="E226" s="101">
        <v>78.97</v>
      </c>
      <c r="F226" s="55">
        <v>1.3</v>
      </c>
      <c r="G226" s="55">
        <f aca="true" t="shared" si="21" ref="G226:G242">E226*F226</f>
        <v>102.661</v>
      </c>
      <c r="H226" s="55">
        <f>G226*'Тарифные ставки'!$B$13</f>
        <v>264.86538</v>
      </c>
      <c r="I226" s="55">
        <f>H226*'Тарифные ставки'!$B$14*'Тарифные ставки'!$B$15</f>
        <v>321.01684056</v>
      </c>
      <c r="J226" s="48">
        <f t="shared" si="20"/>
        <v>52.44334524000001</v>
      </c>
    </row>
    <row r="227" spans="1:10" ht="15.75" hidden="1">
      <c r="A227" s="133" t="s">
        <v>2298</v>
      </c>
      <c r="B227" s="652" t="s">
        <v>90</v>
      </c>
      <c r="C227" s="652" t="s">
        <v>91</v>
      </c>
      <c r="D227" s="256" t="s">
        <v>2308</v>
      </c>
      <c r="E227" s="101">
        <v>78.97</v>
      </c>
      <c r="F227" s="48">
        <v>0.44</v>
      </c>
      <c r="G227" s="48">
        <f t="shared" si="21"/>
        <v>34.7468</v>
      </c>
      <c r="H227" s="48">
        <f>(G227+G228)*'Тарифные ставки'!$B$13</f>
        <v>188.354964</v>
      </c>
      <c r="I227" s="48">
        <f>H227*'Тарифные ставки'!$B$14*'Тарифные ставки'!$B$15</f>
        <v>228.286216368</v>
      </c>
      <c r="J227" s="48">
        <f t="shared" si="20"/>
        <v>37.294282872</v>
      </c>
    </row>
    <row r="228" spans="1:10" ht="15.75" hidden="1">
      <c r="A228" s="135"/>
      <c r="B228" s="653"/>
      <c r="C228" s="653"/>
      <c r="D228" s="257" t="s">
        <v>847</v>
      </c>
      <c r="E228" s="101">
        <v>85.02</v>
      </c>
      <c r="F228" s="47">
        <v>0.45</v>
      </c>
      <c r="G228" s="47">
        <f t="shared" si="21"/>
        <v>38.259</v>
      </c>
      <c r="H228" s="47"/>
      <c r="I228" s="47"/>
      <c r="J228" s="48">
        <f t="shared" si="20"/>
        <v>0</v>
      </c>
    </row>
    <row r="229" spans="1:10" ht="15.75" hidden="1">
      <c r="A229" s="133" t="s">
        <v>2299</v>
      </c>
      <c r="B229" s="652" t="s">
        <v>92</v>
      </c>
      <c r="C229" s="652" t="s">
        <v>91</v>
      </c>
      <c r="D229" s="256" t="s">
        <v>2308</v>
      </c>
      <c r="E229" s="101">
        <v>78.97</v>
      </c>
      <c r="F229" s="48">
        <v>0.37</v>
      </c>
      <c r="G229" s="48">
        <f t="shared" si="21"/>
        <v>29.218899999999998</v>
      </c>
      <c r="H229" s="48">
        <f>(G229+G230)*'Тарифные ставки'!$B$13</f>
        <v>158.73837</v>
      </c>
      <c r="I229" s="48">
        <f>H229*'Тарифные ставки'!$B$14*'Тарифные ставки'!$B$15</f>
        <v>192.39090444</v>
      </c>
      <c r="J229" s="48">
        <f t="shared" si="20"/>
        <v>31.43019726</v>
      </c>
    </row>
    <row r="230" spans="1:10" ht="15.75" hidden="1">
      <c r="A230" s="135"/>
      <c r="B230" s="653"/>
      <c r="C230" s="653"/>
      <c r="D230" s="257" t="s">
        <v>847</v>
      </c>
      <c r="E230" s="101">
        <v>85.02</v>
      </c>
      <c r="F230" s="47">
        <v>0.38</v>
      </c>
      <c r="G230" s="47">
        <f t="shared" si="21"/>
        <v>32.3076</v>
      </c>
      <c r="H230" s="47"/>
      <c r="I230" s="47"/>
      <c r="J230" s="48">
        <f t="shared" si="20"/>
        <v>0</v>
      </c>
    </row>
    <row r="231" spans="1:10" ht="15.75" hidden="1">
      <c r="A231" s="133" t="s">
        <v>2300</v>
      </c>
      <c r="B231" s="652" t="s">
        <v>447</v>
      </c>
      <c r="C231" s="652" t="s">
        <v>91</v>
      </c>
      <c r="D231" s="256" t="s">
        <v>2308</v>
      </c>
      <c r="E231" s="101">
        <v>78.97</v>
      </c>
      <c r="F231" s="48">
        <v>0.35</v>
      </c>
      <c r="G231" s="48">
        <f t="shared" si="21"/>
        <v>27.639499999999998</v>
      </c>
      <c r="H231" s="48">
        <f>(G231+G232)*'Тарифные ставки'!$B$13</f>
        <v>150.276486</v>
      </c>
      <c r="I231" s="48">
        <f>H231*'Тарифные ставки'!$B$14*'Тарифные ставки'!$B$15</f>
        <v>182.13510103200002</v>
      </c>
      <c r="J231" s="48">
        <f t="shared" si="20"/>
        <v>29.754744228000003</v>
      </c>
    </row>
    <row r="232" spans="1:10" ht="15.75" hidden="1">
      <c r="A232" s="135"/>
      <c r="B232" s="653"/>
      <c r="C232" s="653"/>
      <c r="D232" s="257" t="s">
        <v>847</v>
      </c>
      <c r="E232" s="101">
        <v>85.02</v>
      </c>
      <c r="F232" s="47">
        <v>0.36</v>
      </c>
      <c r="G232" s="47">
        <f t="shared" si="21"/>
        <v>30.6072</v>
      </c>
      <c r="H232" s="47"/>
      <c r="I232" s="47"/>
      <c r="J232" s="48">
        <f t="shared" si="20"/>
        <v>0</v>
      </c>
    </row>
    <row r="233" spans="1:10" ht="15.75" hidden="1">
      <c r="A233" s="133" t="s">
        <v>2301</v>
      </c>
      <c r="B233" s="652" t="s">
        <v>448</v>
      </c>
      <c r="C233" s="652" t="s">
        <v>91</v>
      </c>
      <c r="D233" s="256" t="s">
        <v>2308</v>
      </c>
      <c r="E233" s="101">
        <v>78.97</v>
      </c>
      <c r="F233" s="48">
        <v>0.59</v>
      </c>
      <c r="G233" s="48">
        <f t="shared" si="21"/>
        <v>46.592299999999994</v>
      </c>
      <c r="H233" s="48">
        <f>(G233+G234)*'Тарифные ставки'!$B$13</f>
        <v>249.625578</v>
      </c>
      <c r="I233" s="48">
        <f>H233*'Тарифные ставки'!$B$14*'Тарифные ставки'!$B$15</f>
        <v>302.546200536</v>
      </c>
      <c r="J233" s="48">
        <f t="shared" si="20"/>
        <v>49.425864444000005</v>
      </c>
    </row>
    <row r="234" spans="1:10" ht="15.75" hidden="1">
      <c r="A234" s="135"/>
      <c r="B234" s="653"/>
      <c r="C234" s="653"/>
      <c r="D234" s="257" t="s">
        <v>847</v>
      </c>
      <c r="E234" s="101">
        <v>85.02</v>
      </c>
      <c r="F234" s="47">
        <v>0.59</v>
      </c>
      <c r="G234" s="47">
        <f t="shared" si="21"/>
        <v>50.16179999999999</v>
      </c>
      <c r="H234" s="47"/>
      <c r="I234" s="47"/>
      <c r="J234" s="48">
        <f t="shared" si="20"/>
        <v>0</v>
      </c>
    </row>
    <row r="235" spans="1:10" ht="15.75" hidden="1">
      <c r="A235" s="133" t="s">
        <v>2302</v>
      </c>
      <c r="B235" s="31" t="s">
        <v>449</v>
      </c>
      <c r="C235" s="652" t="s">
        <v>450</v>
      </c>
      <c r="D235" s="256" t="s">
        <v>1548</v>
      </c>
      <c r="E235" s="103">
        <v>85.02</v>
      </c>
      <c r="F235" s="48">
        <v>0.9</v>
      </c>
      <c r="G235" s="48">
        <f t="shared" si="21"/>
        <v>76.518</v>
      </c>
      <c r="H235" s="48">
        <f>(G235+G236)*'Тарифные ставки'!$B$13</f>
        <v>394.83288</v>
      </c>
      <c r="I235" s="48">
        <f>H235*'Тарифные ставки'!$B$14*'Тарифные ставки'!$B$15</f>
        <v>478.53745055999997</v>
      </c>
      <c r="J235" s="48">
        <f t="shared" si="20"/>
        <v>78.17691024</v>
      </c>
    </row>
    <row r="236" spans="1:10" ht="15.75" hidden="1">
      <c r="A236" s="135"/>
      <c r="B236" s="52"/>
      <c r="C236" s="653"/>
      <c r="D236" s="257" t="s">
        <v>847</v>
      </c>
      <c r="E236" s="101">
        <v>85.02</v>
      </c>
      <c r="F236" s="47">
        <v>0.9</v>
      </c>
      <c r="G236" s="47">
        <f t="shared" si="21"/>
        <v>76.518</v>
      </c>
      <c r="H236" s="47"/>
      <c r="I236" s="47"/>
      <c r="J236" s="48">
        <f t="shared" si="20"/>
        <v>0</v>
      </c>
    </row>
    <row r="237" spans="1:10" ht="15.75" hidden="1">
      <c r="A237" s="133" t="s">
        <v>2303</v>
      </c>
      <c r="B237" s="631" t="s">
        <v>451</v>
      </c>
      <c r="C237" s="631" t="s">
        <v>452</v>
      </c>
      <c r="D237" s="256" t="s">
        <v>1548</v>
      </c>
      <c r="E237" s="103">
        <v>85.02</v>
      </c>
      <c r="F237" s="48">
        <v>2</v>
      </c>
      <c r="G237" s="48">
        <f t="shared" si="21"/>
        <v>170.04</v>
      </c>
      <c r="H237" s="48">
        <f>(G237+G238)*'Тарифные ставки'!$B$13</f>
        <v>877.4064</v>
      </c>
      <c r="I237" s="48">
        <f>H237*'Тарифные ставки'!$B$14*'Тарифные ставки'!$B$15</f>
        <v>1063.4165567999999</v>
      </c>
      <c r="J237" s="48">
        <f t="shared" si="20"/>
        <v>173.7264672</v>
      </c>
    </row>
    <row r="238" spans="1:10" ht="15.75" hidden="1">
      <c r="A238" s="135"/>
      <c r="B238" s="632"/>
      <c r="C238" s="632"/>
      <c r="D238" s="257" t="s">
        <v>847</v>
      </c>
      <c r="E238" s="101">
        <v>85.02</v>
      </c>
      <c r="F238" s="47">
        <v>2</v>
      </c>
      <c r="G238" s="47">
        <f t="shared" si="21"/>
        <v>170.04</v>
      </c>
      <c r="H238" s="47"/>
      <c r="I238" s="47"/>
      <c r="J238" s="48">
        <f t="shared" si="20"/>
        <v>0</v>
      </c>
    </row>
    <row r="239" spans="1:10" ht="31.5" hidden="1">
      <c r="A239" s="136" t="s">
        <v>2304</v>
      </c>
      <c r="B239" s="61" t="s">
        <v>453</v>
      </c>
      <c r="C239" s="61" t="s">
        <v>454</v>
      </c>
      <c r="D239" s="254" t="s">
        <v>847</v>
      </c>
      <c r="E239" s="101">
        <v>85.02</v>
      </c>
      <c r="F239" s="55">
        <v>1.7</v>
      </c>
      <c r="G239" s="55">
        <f t="shared" si="21"/>
        <v>144.534</v>
      </c>
      <c r="H239" s="55">
        <f>G239*'Тарифные ставки'!$B$13</f>
        <v>372.89772</v>
      </c>
      <c r="I239" s="55">
        <f>H239*'Тарифные ставки'!$B$14*'Тарифные ставки'!$B$15</f>
        <v>451.95203664</v>
      </c>
      <c r="J239" s="48">
        <f t="shared" si="20"/>
        <v>73.83374856</v>
      </c>
    </row>
    <row r="240" spans="1:10" ht="15.75" hidden="1">
      <c r="A240" s="136" t="s">
        <v>86</v>
      </c>
      <c r="B240" s="61" t="s">
        <v>455</v>
      </c>
      <c r="C240" s="61" t="s">
        <v>454</v>
      </c>
      <c r="D240" s="254" t="s">
        <v>847</v>
      </c>
      <c r="E240" s="101">
        <v>85.02</v>
      </c>
      <c r="F240" s="55">
        <v>9.3</v>
      </c>
      <c r="G240" s="55">
        <f t="shared" si="21"/>
        <v>790.686</v>
      </c>
      <c r="H240" s="55">
        <f>G240*'Тарифные ставки'!$B$13</f>
        <v>2039.96988</v>
      </c>
      <c r="I240" s="55">
        <f>H240*'Тарифные ставки'!$B$14*'Тарифные ставки'!$B$15</f>
        <v>2472.44349456</v>
      </c>
      <c r="J240" s="48">
        <f t="shared" si="20"/>
        <v>403.9140362400001</v>
      </c>
    </row>
    <row r="241" spans="1:10" ht="47.25" hidden="1">
      <c r="A241" s="136" t="s">
        <v>87</v>
      </c>
      <c r="B241" s="61" t="s">
        <v>1672</v>
      </c>
      <c r="C241" s="61" t="s">
        <v>456</v>
      </c>
      <c r="D241" s="254" t="s">
        <v>847</v>
      </c>
      <c r="E241" s="101">
        <v>85.02</v>
      </c>
      <c r="F241" s="55">
        <v>2.2</v>
      </c>
      <c r="G241" s="55">
        <f t="shared" si="21"/>
        <v>187.044</v>
      </c>
      <c r="H241" s="55">
        <f>G241*'Тарифные ставки'!$B$13</f>
        <v>482.57352000000003</v>
      </c>
      <c r="I241" s="55">
        <f>H241*'Тарифные ставки'!$B$14*'Тарифные ставки'!$B$15</f>
        <v>584.87910624</v>
      </c>
      <c r="J241" s="48">
        <f t="shared" si="20"/>
        <v>95.54955696000002</v>
      </c>
    </row>
    <row r="242" spans="1:10" ht="15.75" hidden="1">
      <c r="A242" s="136" t="s">
        <v>88</v>
      </c>
      <c r="B242" s="61" t="s">
        <v>457</v>
      </c>
      <c r="C242" s="61" t="s">
        <v>458</v>
      </c>
      <c r="D242" s="254" t="s">
        <v>847</v>
      </c>
      <c r="E242" s="101">
        <v>85.02</v>
      </c>
      <c r="F242" s="55">
        <v>2</v>
      </c>
      <c r="G242" s="55">
        <f t="shared" si="21"/>
        <v>170.04</v>
      </c>
      <c r="H242" s="55">
        <f>G242*'Тарифные ставки'!$B$13</f>
        <v>438.7032</v>
      </c>
      <c r="I242" s="55">
        <f>H242*'Тарифные ставки'!$B$14*'Тарифные ставки'!$B$15</f>
        <v>531.7082783999999</v>
      </c>
      <c r="J242" s="48">
        <f t="shared" si="20"/>
        <v>86.8632336</v>
      </c>
    </row>
    <row r="243" ht="15.75" hidden="1"/>
    <row r="244" ht="15.75" hidden="1"/>
    <row r="245" ht="15.75" hidden="1"/>
  </sheetData>
  <sheetProtection/>
  <autoFilter ref="A183:J242"/>
  <mergeCells count="86">
    <mergeCell ref="HM179:HW179"/>
    <mergeCell ref="HX179:IH179"/>
    <mergeCell ref="II179:IK179"/>
    <mergeCell ref="A181:I181"/>
    <mergeCell ref="EY179:FI179"/>
    <mergeCell ref="FJ179:FT179"/>
    <mergeCell ref="FU179:GE179"/>
    <mergeCell ref="GF179:GP179"/>
    <mergeCell ref="GQ179:HA179"/>
    <mergeCell ref="HB179:HL179"/>
    <mergeCell ref="CK179:CU179"/>
    <mergeCell ref="CV179:DF179"/>
    <mergeCell ref="DG179:DQ179"/>
    <mergeCell ref="DR179:EB179"/>
    <mergeCell ref="EC179:EM179"/>
    <mergeCell ref="EN179:EX179"/>
    <mergeCell ref="II178:IK178"/>
    <mergeCell ref="A179:J179"/>
    <mergeCell ref="K179:L179"/>
    <mergeCell ref="M179:V179"/>
    <mergeCell ref="W179:AG179"/>
    <mergeCell ref="AH179:AR179"/>
    <mergeCell ref="AS179:BC179"/>
    <mergeCell ref="BD179:BN179"/>
    <mergeCell ref="BO179:BY179"/>
    <mergeCell ref="BZ179:CJ179"/>
    <mergeCell ref="FU178:GE178"/>
    <mergeCell ref="GF178:GP178"/>
    <mergeCell ref="GQ178:HA178"/>
    <mergeCell ref="HB178:HL178"/>
    <mergeCell ref="HM178:HW178"/>
    <mergeCell ref="HX178:IH178"/>
    <mergeCell ref="DG178:DQ178"/>
    <mergeCell ref="DR178:EB178"/>
    <mergeCell ref="EC178:EM178"/>
    <mergeCell ref="EN178:EX178"/>
    <mergeCell ref="EY178:FI178"/>
    <mergeCell ref="FJ178:FT178"/>
    <mergeCell ref="AS178:BC178"/>
    <mergeCell ref="BD178:BN178"/>
    <mergeCell ref="BO178:BY178"/>
    <mergeCell ref="BZ178:CJ178"/>
    <mergeCell ref="CK178:CU178"/>
    <mergeCell ref="CV178:DF178"/>
    <mergeCell ref="A3:I3"/>
    <mergeCell ref="A105:I105"/>
    <mergeCell ref="A177:J177"/>
    <mergeCell ref="A178:J178"/>
    <mergeCell ref="K178:L178"/>
    <mergeCell ref="M178:V178"/>
    <mergeCell ref="B46:B47"/>
    <mergeCell ref="B44:B45"/>
    <mergeCell ref="A14:A15"/>
    <mergeCell ref="C14:C15"/>
    <mergeCell ref="W178:AG178"/>
    <mergeCell ref="AH178:AR178"/>
    <mergeCell ref="B14:B15"/>
    <mergeCell ref="A1:J1"/>
    <mergeCell ref="B48:B49"/>
    <mergeCell ref="B50:B51"/>
    <mergeCell ref="B52:B53"/>
    <mergeCell ref="B54:B55"/>
    <mergeCell ref="B6:B7"/>
    <mergeCell ref="A16:I16"/>
    <mergeCell ref="B81:B82"/>
    <mergeCell ref="B83:B84"/>
    <mergeCell ref="B91:B92"/>
    <mergeCell ref="B58:B59"/>
    <mergeCell ref="B60:B61"/>
    <mergeCell ref="B62:B63"/>
    <mergeCell ref="B64:B65"/>
    <mergeCell ref="B227:B228"/>
    <mergeCell ref="C227:C228"/>
    <mergeCell ref="A154:I154"/>
    <mergeCell ref="A160:I160"/>
    <mergeCell ref="A166:I166"/>
    <mergeCell ref="B175:B176"/>
    <mergeCell ref="C237:C238"/>
    <mergeCell ref="B237:B238"/>
    <mergeCell ref="B233:B234"/>
    <mergeCell ref="C233:C234"/>
    <mergeCell ref="C235:C236"/>
    <mergeCell ref="B229:B230"/>
    <mergeCell ref="C229:C230"/>
    <mergeCell ref="B231:B232"/>
    <mergeCell ref="C231:C23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7" r:id="rId1"/>
  <rowBreaks count="1" manualBreakCount="1">
    <brk id="17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0"/>
  <sheetViews>
    <sheetView view="pageBreakPreview" zoomScale="120" zoomScaleSheetLayoutView="120" zoomScalePageLayoutView="0" workbookViewId="0" topLeftCell="A1">
      <pane xSplit="1" ySplit="6" topLeftCell="B7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Q151" sqref="Q151"/>
    </sheetView>
  </sheetViews>
  <sheetFormatPr defaultColWidth="9.00390625" defaultRowHeight="12.75"/>
  <cols>
    <col min="1" max="1" width="8.25390625" style="3" customWidth="1"/>
    <col min="2" max="2" width="62.25390625" style="3" customWidth="1"/>
    <col min="3" max="3" width="13.125" style="3" customWidth="1"/>
    <col min="4" max="4" width="12.375" style="3" hidden="1" customWidth="1"/>
    <col min="5" max="5" width="10.75390625" style="376" hidden="1" customWidth="1"/>
    <col min="6" max="6" width="12.375" style="517" hidden="1" customWidth="1"/>
    <col min="7" max="8" width="12.375" style="376" hidden="1" customWidth="1"/>
    <col min="9" max="9" width="15.75390625" style="376" customWidth="1"/>
    <col min="10" max="10" width="13.75390625" style="376" customWidth="1"/>
    <col min="11" max="11" width="13.375" style="465" hidden="1" customWidth="1"/>
    <col min="12" max="12" width="10.375" style="425" hidden="1" customWidth="1"/>
    <col min="13" max="14" width="0" style="3" hidden="1" customWidth="1"/>
    <col min="15" max="16384" width="9.125" style="3" customWidth="1"/>
  </cols>
  <sheetData>
    <row r="1" spans="1:12" s="2" customFormat="1" ht="15.75">
      <c r="A1" s="604" t="s">
        <v>1200</v>
      </c>
      <c r="B1" s="604"/>
      <c r="C1" s="604"/>
      <c r="D1" s="604"/>
      <c r="E1" s="604"/>
      <c r="F1" s="604"/>
      <c r="G1" s="604"/>
      <c r="H1" s="604"/>
      <c r="I1" s="604"/>
      <c r="J1" s="604"/>
      <c r="K1" s="509"/>
      <c r="L1" s="413"/>
    </row>
    <row r="2" spans="1:12" s="2" customFormat="1" ht="15.75">
      <c r="A2" s="604" t="s">
        <v>1201</v>
      </c>
      <c r="B2" s="604"/>
      <c r="C2" s="604"/>
      <c r="D2" s="604"/>
      <c r="E2" s="604"/>
      <c r="F2" s="604"/>
      <c r="G2" s="604"/>
      <c r="H2" s="604"/>
      <c r="I2" s="604"/>
      <c r="J2" s="604"/>
      <c r="K2" s="509"/>
      <c r="L2" s="413"/>
    </row>
    <row r="3" spans="2:6" ht="15.75">
      <c r="B3" s="6"/>
      <c r="F3" s="376"/>
    </row>
    <row r="4" spans="1:10" ht="15.75">
      <c r="A4" s="604" t="s">
        <v>1202</v>
      </c>
      <c r="B4" s="604"/>
      <c r="C4" s="604"/>
      <c r="D4" s="604"/>
      <c r="E4" s="604"/>
      <c r="F4" s="604"/>
      <c r="G4" s="604"/>
      <c r="H4" s="604"/>
      <c r="I4" s="604"/>
      <c r="J4" s="604"/>
    </row>
    <row r="5" spans="1:9" ht="15.75">
      <c r="A5" s="311"/>
      <c r="B5" s="311"/>
      <c r="C5" s="311"/>
      <c r="D5" s="311"/>
      <c r="E5" s="413"/>
      <c r="F5" s="413"/>
      <c r="G5" s="413"/>
      <c r="H5" s="413"/>
      <c r="I5" s="413"/>
    </row>
    <row r="6" spans="1:12" ht="70.5" customHeight="1">
      <c r="A6" s="328" t="s">
        <v>83</v>
      </c>
      <c r="B6" s="313" t="s">
        <v>82</v>
      </c>
      <c r="C6" s="313" t="s">
        <v>77</v>
      </c>
      <c r="D6" s="313" t="s">
        <v>81</v>
      </c>
      <c r="E6" s="393" t="s">
        <v>85</v>
      </c>
      <c r="F6" s="393" t="s">
        <v>78</v>
      </c>
      <c r="G6" s="393" t="s">
        <v>79</v>
      </c>
      <c r="H6" s="393" t="s">
        <v>80</v>
      </c>
      <c r="I6" s="394" t="s">
        <v>843</v>
      </c>
      <c r="J6" s="394" t="s">
        <v>2349</v>
      </c>
      <c r="K6" s="508" t="s">
        <v>2386</v>
      </c>
      <c r="L6" s="477" t="s">
        <v>2385</v>
      </c>
    </row>
    <row r="7" spans="1:12" ht="31.5" hidden="1">
      <c r="A7" s="73" t="s">
        <v>1203</v>
      </c>
      <c r="B7" s="39" t="s">
        <v>1204</v>
      </c>
      <c r="C7" s="74" t="s">
        <v>799</v>
      </c>
      <c r="D7" s="295" t="s">
        <v>49</v>
      </c>
      <c r="E7" s="398">
        <v>85.02</v>
      </c>
      <c r="F7" s="510">
        <v>1.04</v>
      </c>
      <c r="G7" s="398">
        <f aca="true" t="shared" si="0" ref="G7:G12">E7*F7</f>
        <v>88.4208</v>
      </c>
      <c r="H7" s="398">
        <f>G7*'Тарифные ставки'!$B$13</f>
        <v>228.125664</v>
      </c>
      <c r="I7" s="398">
        <f>H7*'Тарифные ставки'!$B$14*'Тарифные ставки'!$B$15</f>
        <v>276.488304768</v>
      </c>
      <c r="J7" s="398">
        <f>H7*1.1*0.18</f>
        <v>45.168881472</v>
      </c>
      <c r="K7" s="457"/>
      <c r="L7" s="415"/>
    </row>
    <row r="8" spans="1:12" ht="31.5" hidden="1">
      <c r="A8" s="73" t="s">
        <v>1205</v>
      </c>
      <c r="B8" s="39" t="s">
        <v>1206</v>
      </c>
      <c r="C8" s="74" t="s">
        <v>799</v>
      </c>
      <c r="D8" s="295" t="s">
        <v>49</v>
      </c>
      <c r="E8" s="398">
        <v>85.02</v>
      </c>
      <c r="F8" s="510">
        <v>1.92</v>
      </c>
      <c r="G8" s="398">
        <f t="shared" si="0"/>
        <v>163.23839999999998</v>
      </c>
      <c r="H8" s="398">
        <f>G8*'Тарифные ставки'!$B$13</f>
        <v>421.15507199999996</v>
      </c>
      <c r="I8" s="398">
        <f>H8*'Тарифные ставки'!$B$14*'Тарифные ставки'!$B$15</f>
        <v>510.4399472639999</v>
      </c>
      <c r="J8" s="398">
        <f aca="true" t="shared" si="1" ref="J8:J72">H8*1.1*0.18</f>
        <v>83.388704256</v>
      </c>
      <c r="K8" s="457"/>
      <c r="L8" s="415"/>
    </row>
    <row r="9" spans="1:12" ht="31.5" hidden="1">
      <c r="A9" s="71" t="s">
        <v>679</v>
      </c>
      <c r="B9" s="11" t="s">
        <v>680</v>
      </c>
      <c r="C9" s="72" t="s">
        <v>799</v>
      </c>
      <c r="D9" s="518" t="s">
        <v>49</v>
      </c>
      <c r="E9" s="400">
        <v>85.02</v>
      </c>
      <c r="F9" s="514">
        <v>2.5</v>
      </c>
      <c r="G9" s="400">
        <f t="shared" si="0"/>
        <v>212.54999999999998</v>
      </c>
      <c r="H9" s="400">
        <f>G9*'Тарифные ставки'!$B$13</f>
        <v>548.379</v>
      </c>
      <c r="I9" s="400">
        <f>H9*'Тарифные ставки'!$B$14*'Тарифные ставки'!$B$15</f>
        <v>664.635348</v>
      </c>
      <c r="J9" s="400">
        <f t="shared" si="1"/>
        <v>108.57904200000002</v>
      </c>
      <c r="K9" s="457"/>
      <c r="L9" s="415"/>
    </row>
    <row r="10" spans="1:12" ht="31.5">
      <c r="A10" s="73" t="s">
        <v>886</v>
      </c>
      <c r="B10" s="39" t="s">
        <v>887</v>
      </c>
      <c r="C10" s="74" t="s">
        <v>799</v>
      </c>
      <c r="D10" s="295" t="s">
        <v>49</v>
      </c>
      <c r="E10" s="398">
        <f>'Тарифные ставки'!$B$6</f>
        <v>148.166</v>
      </c>
      <c r="F10" s="510">
        <v>0.62</v>
      </c>
      <c r="G10" s="398">
        <f t="shared" si="0"/>
        <v>91.86292</v>
      </c>
      <c r="H10" s="398">
        <f>G10*'Тарифные ставки'!$B$13</f>
        <v>237.0063336</v>
      </c>
      <c r="I10" s="398">
        <f>H10*'Тарифные ставки'!$B$14*'Тарифные ставки'!$B$15</f>
        <v>287.2516763232</v>
      </c>
      <c r="J10" s="398">
        <f>I10-I10/'Тарифные ставки'!$B$15</f>
        <v>47.87527938719998</v>
      </c>
      <c r="K10" s="491">
        <v>268.2402255</v>
      </c>
      <c r="L10" s="491">
        <f>I10/K10*100-100</f>
        <v>7.087471980670543</v>
      </c>
    </row>
    <row r="11" spans="1:12" ht="31.5">
      <c r="A11" s="73" t="s">
        <v>888</v>
      </c>
      <c r="B11" s="39" t="s">
        <v>889</v>
      </c>
      <c r="C11" s="74" t="s">
        <v>799</v>
      </c>
      <c r="D11" s="295" t="s">
        <v>49</v>
      </c>
      <c r="E11" s="398">
        <f>'Тарифные ставки'!$B$6</f>
        <v>148.166</v>
      </c>
      <c r="F11" s="510">
        <v>0.96</v>
      </c>
      <c r="G11" s="398">
        <f t="shared" si="0"/>
        <v>142.23936</v>
      </c>
      <c r="H11" s="398">
        <f>G11*'Тарифные ставки'!$B$13</f>
        <v>366.9775488</v>
      </c>
      <c r="I11" s="398">
        <f>H11*'Тарифные ставки'!$B$14*'Тарифные ставки'!$B$15</f>
        <v>444.77678914560005</v>
      </c>
      <c r="J11" s="398">
        <f>I11-I11/'Тарифные ставки'!$B$15</f>
        <v>74.1294648576</v>
      </c>
      <c r="K11" s="491">
        <v>415.339704</v>
      </c>
      <c r="L11" s="491">
        <f>I11/K11*100-100</f>
        <v>7.087471980670571</v>
      </c>
    </row>
    <row r="12" spans="1:12" ht="31.5">
      <c r="A12" s="73" t="s">
        <v>890</v>
      </c>
      <c r="B12" s="292" t="s">
        <v>891</v>
      </c>
      <c r="C12" s="74" t="s">
        <v>194</v>
      </c>
      <c r="D12" s="295" t="s">
        <v>49</v>
      </c>
      <c r="E12" s="398">
        <f>'Тарифные ставки'!$B$6</f>
        <v>148.166</v>
      </c>
      <c r="F12" s="510">
        <v>0.72</v>
      </c>
      <c r="G12" s="398">
        <f t="shared" si="0"/>
        <v>106.67952</v>
      </c>
      <c r="H12" s="398">
        <f>G12*'Тарифные ставки'!$B$13</f>
        <v>275.2331616</v>
      </c>
      <c r="I12" s="398">
        <f>H12*'Тарифные ставки'!$B$14*'Тарифные ставки'!$B$15</f>
        <v>333.5825918592</v>
      </c>
      <c r="J12" s="398">
        <f>I12-I12/'Тарифные ставки'!$B$15</f>
        <v>55.59709864320001</v>
      </c>
      <c r="K12" s="491">
        <v>311.504778</v>
      </c>
      <c r="L12" s="491">
        <f>I12/K12*100-100</f>
        <v>7.087471980670571</v>
      </c>
    </row>
    <row r="13" spans="1:10" ht="72" customHeight="1">
      <c r="A13" s="691" t="s">
        <v>2466</v>
      </c>
      <c r="B13" s="691"/>
      <c r="C13" s="691"/>
      <c r="D13" s="691"/>
      <c r="E13" s="691"/>
      <c r="F13" s="691"/>
      <c r="G13" s="691"/>
      <c r="H13" s="691"/>
      <c r="I13" s="691"/>
      <c r="J13" s="691"/>
    </row>
    <row r="14" spans="2:6" ht="15.75">
      <c r="B14" s="6"/>
      <c r="F14" s="376"/>
    </row>
    <row r="15" spans="1:9" ht="15.75">
      <c r="A15" s="604" t="s">
        <v>70</v>
      </c>
      <c r="B15" s="604"/>
      <c r="C15" s="604"/>
      <c r="D15" s="604"/>
      <c r="E15" s="604"/>
      <c r="F15" s="604"/>
      <c r="G15" s="604"/>
      <c r="H15" s="604"/>
      <c r="I15" s="604"/>
    </row>
    <row r="16" spans="1:9" ht="15.75">
      <c r="A16" s="311"/>
      <c r="B16" s="311"/>
      <c r="C16" s="311"/>
      <c r="D16" s="352"/>
      <c r="E16" s="413"/>
      <c r="F16" s="413"/>
      <c r="G16" s="413"/>
      <c r="H16" s="413"/>
      <c r="I16" s="413"/>
    </row>
    <row r="17" spans="1:10" ht="15.75" hidden="1">
      <c r="A17" s="71" t="s">
        <v>892</v>
      </c>
      <c r="B17" s="608" t="s">
        <v>893</v>
      </c>
      <c r="C17" s="244" t="s">
        <v>894</v>
      </c>
      <c r="D17" s="228" t="s">
        <v>2316</v>
      </c>
      <c r="E17" s="400">
        <v>78.97</v>
      </c>
      <c r="F17" s="511">
        <v>2</v>
      </c>
      <c r="G17" s="400">
        <f aca="true" t="shared" si="2" ref="G17:G28">F17*E17</f>
        <v>157.94</v>
      </c>
      <c r="H17" s="400">
        <f>(G17+G18+G19)*'Тарифные ставки'!$B$13</f>
        <v>1253.6735999999999</v>
      </c>
      <c r="I17" s="400">
        <f>H17*'Тарифные ставки'!$B$14*'Тарифные ставки'!$B$15</f>
        <v>1519.4524031999997</v>
      </c>
      <c r="J17" s="398">
        <f t="shared" si="1"/>
        <v>248.2273728</v>
      </c>
    </row>
    <row r="18" spans="1:10" ht="15.75" hidden="1">
      <c r="A18" s="67"/>
      <c r="B18" s="634"/>
      <c r="C18" s="236"/>
      <c r="D18" s="237" t="s">
        <v>2316</v>
      </c>
      <c r="E18" s="400">
        <v>78.97</v>
      </c>
      <c r="F18" s="512">
        <v>2</v>
      </c>
      <c r="G18" s="396">
        <f t="shared" si="2"/>
        <v>157.94</v>
      </c>
      <c r="H18" s="396"/>
      <c r="I18" s="396"/>
      <c r="J18" s="398">
        <f t="shared" si="1"/>
        <v>0</v>
      </c>
    </row>
    <row r="19" spans="1:10" ht="15.75" hidden="1">
      <c r="A19" s="67"/>
      <c r="B19" s="634"/>
      <c r="C19" s="236"/>
      <c r="D19" s="237" t="s">
        <v>47</v>
      </c>
      <c r="E19" s="396">
        <v>85.02</v>
      </c>
      <c r="F19" s="512">
        <v>2</v>
      </c>
      <c r="G19" s="396">
        <f t="shared" si="2"/>
        <v>170.04</v>
      </c>
      <c r="H19" s="396"/>
      <c r="I19" s="396"/>
      <c r="J19" s="398">
        <f t="shared" si="1"/>
        <v>0</v>
      </c>
    </row>
    <row r="20" spans="1:10" ht="15.75" hidden="1">
      <c r="A20" s="67"/>
      <c r="B20" s="14" t="s">
        <v>1282</v>
      </c>
      <c r="C20" s="236"/>
      <c r="D20" s="237" t="s">
        <v>2316</v>
      </c>
      <c r="E20" s="400">
        <v>78.97</v>
      </c>
      <c r="F20" s="512">
        <v>2.6</v>
      </c>
      <c r="G20" s="396">
        <f t="shared" si="2"/>
        <v>205.322</v>
      </c>
      <c r="H20" s="396">
        <f>(G20+G21+G22)*'Тарифные ставки'!$B$13</f>
        <v>1673.6460000000002</v>
      </c>
      <c r="I20" s="396">
        <f>H20*'Тарифные ставки'!$B$14*'Тарифные ставки'!$B$15</f>
        <v>2028.4589520000002</v>
      </c>
      <c r="J20" s="398">
        <f t="shared" si="1"/>
        <v>331.38190800000007</v>
      </c>
    </row>
    <row r="21" spans="1:10" ht="15.75" hidden="1">
      <c r="A21" s="67"/>
      <c r="B21" s="12"/>
      <c r="C21" s="236"/>
      <c r="D21" s="237" t="s">
        <v>2316</v>
      </c>
      <c r="E21" s="400">
        <v>78.97</v>
      </c>
      <c r="F21" s="512">
        <v>2.6</v>
      </c>
      <c r="G21" s="396">
        <f t="shared" si="2"/>
        <v>205.322</v>
      </c>
      <c r="H21" s="396"/>
      <c r="I21" s="396"/>
      <c r="J21" s="398">
        <f t="shared" si="1"/>
        <v>0</v>
      </c>
    </row>
    <row r="22" spans="1:10" ht="15.75" hidden="1">
      <c r="A22" s="69"/>
      <c r="B22" s="30"/>
      <c r="C22" s="245"/>
      <c r="D22" s="233" t="s">
        <v>47</v>
      </c>
      <c r="E22" s="396">
        <v>85.02</v>
      </c>
      <c r="F22" s="513">
        <v>2.8</v>
      </c>
      <c r="G22" s="399">
        <f t="shared" si="2"/>
        <v>238.05599999999998</v>
      </c>
      <c r="H22" s="399"/>
      <c r="I22" s="399"/>
      <c r="J22" s="398">
        <f t="shared" si="1"/>
        <v>0</v>
      </c>
    </row>
    <row r="23" spans="1:10" ht="15.75" hidden="1">
      <c r="A23" s="67" t="s">
        <v>895</v>
      </c>
      <c r="B23" s="608" t="s">
        <v>896</v>
      </c>
      <c r="C23" s="236" t="s">
        <v>894</v>
      </c>
      <c r="D23" s="228" t="s">
        <v>2316</v>
      </c>
      <c r="E23" s="400">
        <v>78.97</v>
      </c>
      <c r="F23" s="512">
        <v>3.7</v>
      </c>
      <c r="G23" s="396">
        <f t="shared" si="2"/>
        <v>292.189</v>
      </c>
      <c r="H23" s="396">
        <f>(G23+G24+G25)*'Тарифные ставки'!$B$13</f>
        <v>2341.23132</v>
      </c>
      <c r="I23" s="396">
        <f>H23*'Тарифные ставки'!$B$14*'Тарифные ставки'!$B$15</f>
        <v>2837.5723598399995</v>
      </c>
      <c r="J23" s="398">
        <f t="shared" si="1"/>
        <v>463.56380136</v>
      </c>
    </row>
    <row r="24" spans="1:10" ht="15.75" hidden="1">
      <c r="A24" s="67"/>
      <c r="B24" s="634"/>
      <c r="C24" s="236"/>
      <c r="D24" s="237" t="s">
        <v>2316</v>
      </c>
      <c r="E24" s="400">
        <v>78.97</v>
      </c>
      <c r="F24" s="512">
        <v>3.7</v>
      </c>
      <c r="G24" s="396">
        <f t="shared" si="2"/>
        <v>292.189</v>
      </c>
      <c r="H24" s="396"/>
      <c r="I24" s="396"/>
      <c r="J24" s="398">
        <f t="shared" si="1"/>
        <v>0</v>
      </c>
    </row>
    <row r="25" spans="1:10" ht="15.75" hidden="1">
      <c r="A25" s="67"/>
      <c r="B25" s="634"/>
      <c r="C25" s="236"/>
      <c r="D25" s="237" t="s">
        <v>47</v>
      </c>
      <c r="E25" s="396">
        <v>85.02</v>
      </c>
      <c r="F25" s="512">
        <v>3.8</v>
      </c>
      <c r="G25" s="396">
        <f t="shared" si="2"/>
        <v>323.07599999999996</v>
      </c>
      <c r="H25" s="396"/>
      <c r="I25" s="396"/>
      <c r="J25" s="398">
        <f t="shared" si="1"/>
        <v>0</v>
      </c>
    </row>
    <row r="26" spans="1:10" ht="15.75" hidden="1">
      <c r="A26" s="67"/>
      <c r="B26" s="12" t="s">
        <v>1282</v>
      </c>
      <c r="C26" s="236"/>
      <c r="D26" s="237" t="s">
        <v>2316</v>
      </c>
      <c r="E26" s="400">
        <v>78.97</v>
      </c>
      <c r="F26" s="512">
        <v>5</v>
      </c>
      <c r="G26" s="396">
        <f t="shared" si="2"/>
        <v>394.85</v>
      </c>
      <c r="H26" s="396">
        <f>(G26+G27+G28)*'Тарифные ставки'!$B$13</f>
        <v>3134.184</v>
      </c>
      <c r="I26" s="396">
        <f>H26*'Тарифные ставки'!$B$14*'Тарифные ставки'!$B$15</f>
        <v>3798.6310080000003</v>
      </c>
      <c r="J26" s="398">
        <f t="shared" si="1"/>
        <v>620.5684320000001</v>
      </c>
    </row>
    <row r="27" spans="1:10" ht="15.75" hidden="1">
      <c r="A27" s="67"/>
      <c r="B27" s="12"/>
      <c r="C27" s="236"/>
      <c r="D27" s="237" t="s">
        <v>2316</v>
      </c>
      <c r="E27" s="400">
        <v>78.97</v>
      </c>
      <c r="F27" s="512">
        <v>5</v>
      </c>
      <c r="G27" s="396">
        <f t="shared" si="2"/>
        <v>394.85</v>
      </c>
      <c r="H27" s="396"/>
      <c r="I27" s="396"/>
      <c r="J27" s="398">
        <f t="shared" si="1"/>
        <v>0</v>
      </c>
    </row>
    <row r="28" spans="1:10" ht="15.75" hidden="1">
      <c r="A28" s="67"/>
      <c r="B28" s="12"/>
      <c r="C28" s="236"/>
      <c r="D28" s="237" t="s">
        <v>47</v>
      </c>
      <c r="E28" s="396">
        <v>85.02</v>
      </c>
      <c r="F28" s="512">
        <v>5</v>
      </c>
      <c r="G28" s="396">
        <f t="shared" si="2"/>
        <v>425.09999999999997</v>
      </c>
      <c r="H28" s="396"/>
      <c r="I28" s="396"/>
      <c r="J28" s="398">
        <f t="shared" si="1"/>
        <v>0</v>
      </c>
    </row>
    <row r="29" spans="1:10" ht="15.75" hidden="1">
      <c r="A29" s="69"/>
      <c r="B29" s="30" t="s">
        <v>897</v>
      </c>
      <c r="C29" s="245"/>
      <c r="D29" s="37"/>
      <c r="E29" s="399"/>
      <c r="F29" s="513"/>
      <c r="G29" s="399"/>
      <c r="H29" s="399"/>
      <c r="I29" s="399"/>
      <c r="J29" s="398">
        <f t="shared" si="1"/>
        <v>0</v>
      </c>
    </row>
    <row r="30" spans="1:10" ht="15.75" hidden="1">
      <c r="A30" s="71" t="s">
        <v>898</v>
      </c>
      <c r="B30" s="652" t="s">
        <v>899</v>
      </c>
      <c r="C30" s="72" t="s">
        <v>894</v>
      </c>
      <c r="D30" s="228" t="s">
        <v>2316</v>
      </c>
      <c r="E30" s="400">
        <v>78.97</v>
      </c>
      <c r="F30" s="514">
        <v>6.28</v>
      </c>
      <c r="G30" s="400">
        <f aca="true" t="shared" si="3" ref="G30:G44">F30*E30</f>
        <v>495.9316</v>
      </c>
      <c r="H30" s="400">
        <f>(G30+G31+G32)*'Тарифные ставки'!$B$13</f>
        <v>3940.922136</v>
      </c>
      <c r="I30" s="400">
        <f>H30*'Тарифные ставки'!$B$14*'Тарифные ставки'!$B$15</f>
        <v>4776.397628832</v>
      </c>
      <c r="J30" s="398">
        <f t="shared" si="1"/>
        <v>780.302582928</v>
      </c>
    </row>
    <row r="31" spans="1:10" ht="15.75" hidden="1">
      <c r="A31" s="67"/>
      <c r="B31" s="688"/>
      <c r="C31" s="68"/>
      <c r="D31" s="237" t="s">
        <v>2316</v>
      </c>
      <c r="E31" s="400">
        <v>78.97</v>
      </c>
      <c r="F31" s="515">
        <v>6.28</v>
      </c>
      <c r="G31" s="396">
        <f t="shared" si="3"/>
        <v>495.9316</v>
      </c>
      <c r="H31" s="396"/>
      <c r="I31" s="396"/>
      <c r="J31" s="398">
        <f t="shared" si="1"/>
        <v>0</v>
      </c>
    </row>
    <row r="32" spans="1:10" ht="15.75" hidden="1">
      <c r="A32" s="69"/>
      <c r="B32" s="30" t="s">
        <v>897</v>
      </c>
      <c r="C32" s="70"/>
      <c r="D32" s="237" t="s">
        <v>47</v>
      </c>
      <c r="E32" s="396">
        <v>85.02</v>
      </c>
      <c r="F32" s="516">
        <v>6.3</v>
      </c>
      <c r="G32" s="399">
        <f t="shared" si="3"/>
        <v>535.626</v>
      </c>
      <c r="H32" s="399"/>
      <c r="I32" s="399"/>
      <c r="J32" s="398">
        <f t="shared" si="1"/>
        <v>0</v>
      </c>
    </row>
    <row r="33" spans="1:10" ht="15.75" hidden="1">
      <c r="A33" s="71" t="s">
        <v>900</v>
      </c>
      <c r="B33" s="608" t="s">
        <v>901</v>
      </c>
      <c r="C33" s="72" t="s">
        <v>894</v>
      </c>
      <c r="D33" s="228" t="s">
        <v>2316</v>
      </c>
      <c r="E33" s="400">
        <v>78.97</v>
      </c>
      <c r="F33" s="514">
        <v>12.24</v>
      </c>
      <c r="G33" s="400">
        <f t="shared" si="3"/>
        <v>966.5928</v>
      </c>
      <c r="H33" s="400">
        <f>(G33+G34+G35)*'Тарифные ставки'!$B$13</f>
        <v>7672.482432</v>
      </c>
      <c r="I33" s="400">
        <f>H33*'Тарифные ставки'!$B$14*'Тарифные ставки'!$B$15</f>
        <v>9299.048707584</v>
      </c>
      <c r="J33" s="398">
        <f t="shared" si="1"/>
        <v>1519.151521536</v>
      </c>
    </row>
    <row r="34" spans="1:10" ht="15.75" hidden="1">
      <c r="A34" s="67"/>
      <c r="B34" s="634"/>
      <c r="C34" s="68"/>
      <c r="D34" s="237" t="s">
        <v>2316</v>
      </c>
      <c r="E34" s="400">
        <v>78.97</v>
      </c>
      <c r="F34" s="515">
        <v>12.24</v>
      </c>
      <c r="G34" s="396">
        <f t="shared" si="3"/>
        <v>966.5928</v>
      </c>
      <c r="H34" s="396"/>
      <c r="I34" s="396"/>
      <c r="J34" s="398">
        <f t="shared" si="1"/>
        <v>0</v>
      </c>
    </row>
    <row r="35" spans="1:10" ht="15.75" hidden="1">
      <c r="A35" s="69"/>
      <c r="B35" s="609"/>
      <c r="C35" s="70"/>
      <c r="D35" s="233" t="s">
        <v>47</v>
      </c>
      <c r="E35" s="396">
        <v>85.02</v>
      </c>
      <c r="F35" s="516">
        <v>12.24</v>
      </c>
      <c r="G35" s="399">
        <f t="shared" si="3"/>
        <v>1040.6448</v>
      </c>
      <c r="H35" s="399"/>
      <c r="I35" s="399"/>
      <c r="J35" s="398">
        <f t="shared" si="1"/>
        <v>0</v>
      </c>
    </row>
    <row r="36" spans="1:10" ht="63">
      <c r="A36" s="312" t="s">
        <v>83</v>
      </c>
      <c r="B36" s="313" t="s">
        <v>82</v>
      </c>
      <c r="C36" s="313" t="s">
        <v>77</v>
      </c>
      <c r="D36" s="313" t="s">
        <v>81</v>
      </c>
      <c r="E36" s="393" t="s">
        <v>85</v>
      </c>
      <c r="F36" s="393" t="s">
        <v>78</v>
      </c>
      <c r="G36" s="393" t="s">
        <v>79</v>
      </c>
      <c r="H36" s="393" t="s">
        <v>80</v>
      </c>
      <c r="I36" s="394" t="s">
        <v>843</v>
      </c>
      <c r="J36" s="394" t="s">
        <v>2349</v>
      </c>
    </row>
    <row r="37" spans="1:12" ht="15.75">
      <c r="A37" s="71" t="s">
        <v>902</v>
      </c>
      <c r="B37" s="608" t="s">
        <v>903</v>
      </c>
      <c r="C37" s="72" t="s">
        <v>904</v>
      </c>
      <c r="D37" s="228" t="s">
        <v>2316</v>
      </c>
      <c r="E37" s="400">
        <f>'Тарифные ставки'!$B$5</f>
        <v>137.4825</v>
      </c>
      <c r="F37" s="514">
        <v>2.16</v>
      </c>
      <c r="G37" s="400">
        <f t="shared" si="3"/>
        <v>296.9622</v>
      </c>
      <c r="H37" s="400">
        <f>(G37+G38)*'Тарифные ставки'!$B$13</f>
        <v>1591.8619608000001</v>
      </c>
      <c r="I37" s="400">
        <f>H37*'Тарифные ставки'!$B$14*'Тарифные ставки'!$B$15</f>
        <v>1929.3366964896</v>
      </c>
      <c r="J37" s="400">
        <f>I37-I37/'Тарифные ставки'!$B$15</f>
        <v>321.55611608159984</v>
      </c>
      <c r="K37" s="450">
        <v>1802.5288830000002</v>
      </c>
      <c r="L37" s="450">
        <f>I37/K37*100-100</f>
        <v>7.034994816757106</v>
      </c>
    </row>
    <row r="38" spans="1:12" ht="15.75">
      <c r="A38" s="69"/>
      <c r="B38" s="609"/>
      <c r="C38" s="70"/>
      <c r="D38" s="233" t="s">
        <v>47</v>
      </c>
      <c r="E38" s="399">
        <f>'Тарифные ставки'!$B$6</f>
        <v>148.166</v>
      </c>
      <c r="F38" s="516">
        <v>2.16</v>
      </c>
      <c r="G38" s="399">
        <f t="shared" si="3"/>
        <v>320.03856</v>
      </c>
      <c r="H38" s="399"/>
      <c r="I38" s="399"/>
      <c r="J38" s="399"/>
      <c r="K38" s="490"/>
      <c r="L38" s="490"/>
    </row>
    <row r="39" spans="1:12" ht="15.75">
      <c r="A39" s="71" t="s">
        <v>905</v>
      </c>
      <c r="B39" s="608" t="s">
        <v>906</v>
      </c>
      <c r="C39" s="72" t="s">
        <v>904</v>
      </c>
      <c r="D39" s="228" t="s">
        <v>2316</v>
      </c>
      <c r="E39" s="400">
        <f>'Тарифные ставки'!$B$5</f>
        <v>137.4825</v>
      </c>
      <c r="F39" s="514">
        <v>4.2</v>
      </c>
      <c r="G39" s="400">
        <f t="shared" si="3"/>
        <v>577.4264999999999</v>
      </c>
      <c r="H39" s="400">
        <f>(G39+G40)*'Тарифные ставки'!$B$13</f>
        <v>3095.287146</v>
      </c>
      <c r="I39" s="400">
        <f>H39*'Тарифные ставки'!$B$14*'Тарифные ставки'!$B$15</f>
        <v>3751.488020952</v>
      </c>
      <c r="J39" s="400">
        <f>I39-I39/'Тарифные ставки'!$B$15</f>
        <v>625.248003492</v>
      </c>
      <c r="K39" s="450">
        <v>3504.9172725000008</v>
      </c>
      <c r="L39" s="450">
        <f aca="true" t="shared" si="4" ref="L39:L54">I39/K39*100-100</f>
        <v>7.034994816757106</v>
      </c>
    </row>
    <row r="40" spans="1:12" ht="15.75">
      <c r="A40" s="69"/>
      <c r="B40" s="609"/>
      <c r="C40" s="70"/>
      <c r="D40" s="233" t="s">
        <v>47</v>
      </c>
      <c r="E40" s="399">
        <f>'Тарифные ставки'!$B$6</f>
        <v>148.166</v>
      </c>
      <c r="F40" s="516">
        <v>4.2</v>
      </c>
      <c r="G40" s="399">
        <f t="shared" si="3"/>
        <v>622.2972</v>
      </c>
      <c r="H40" s="399"/>
      <c r="I40" s="399"/>
      <c r="J40" s="399"/>
      <c r="K40" s="490"/>
      <c r="L40" s="490"/>
    </row>
    <row r="41" spans="1:12" ht="15.75">
      <c r="A41" s="71" t="s">
        <v>907</v>
      </c>
      <c r="B41" s="652" t="s">
        <v>908</v>
      </c>
      <c r="C41" s="72" t="s">
        <v>904</v>
      </c>
      <c r="D41" s="228" t="s">
        <v>2316</v>
      </c>
      <c r="E41" s="400">
        <f>'Тарифные ставки'!$B$5</f>
        <v>137.4825</v>
      </c>
      <c r="F41" s="514">
        <v>9.35</v>
      </c>
      <c r="G41" s="400">
        <f t="shared" si="3"/>
        <v>1285.4613749999999</v>
      </c>
      <c r="H41" s="400">
        <f>(G41+G42)*'Тарифные ставки'!$B$13</f>
        <v>6890.6987655</v>
      </c>
      <c r="I41" s="400">
        <f>H41*'Тарифные ставки'!$B$14*'Тарифные ставки'!$B$15</f>
        <v>8351.526903786</v>
      </c>
      <c r="J41" s="400">
        <f>I41-I41/'Тарифные ставки'!$B$15</f>
        <v>1391.9211506309994</v>
      </c>
      <c r="K41" s="450">
        <v>7802.6134518750005</v>
      </c>
      <c r="L41" s="450">
        <f t="shared" si="4"/>
        <v>7.034994816757106</v>
      </c>
    </row>
    <row r="42" spans="1:12" ht="15.75">
      <c r="A42" s="69"/>
      <c r="B42" s="653"/>
      <c r="C42" s="70"/>
      <c r="D42" s="233" t="s">
        <v>47</v>
      </c>
      <c r="E42" s="399">
        <f>'Тарифные ставки'!$B$6</f>
        <v>148.166</v>
      </c>
      <c r="F42" s="516">
        <v>9.35</v>
      </c>
      <c r="G42" s="399">
        <f t="shared" si="3"/>
        <v>1385.3520999999998</v>
      </c>
      <c r="H42" s="399"/>
      <c r="I42" s="399"/>
      <c r="J42" s="399"/>
      <c r="K42" s="490"/>
      <c r="L42" s="490"/>
    </row>
    <row r="43" spans="1:12" ht="15.75">
      <c r="A43" s="71" t="s">
        <v>909</v>
      </c>
      <c r="B43" s="608" t="s">
        <v>910</v>
      </c>
      <c r="C43" s="72" t="s">
        <v>904</v>
      </c>
      <c r="D43" s="228" t="s">
        <v>2316</v>
      </c>
      <c r="E43" s="400">
        <f>'Тарифные ставки'!$B$5</f>
        <v>137.4825</v>
      </c>
      <c r="F43" s="514">
        <v>12.25</v>
      </c>
      <c r="G43" s="400">
        <f t="shared" si="3"/>
        <v>1684.1606249999998</v>
      </c>
      <c r="H43" s="400">
        <f>(G43+G44)*'Тарифные ставки'!$B$13</f>
        <v>9027.9208425</v>
      </c>
      <c r="I43" s="400">
        <f>H43*'Тарифные ставки'!$B$14*'Тарифные ставки'!$B$15</f>
        <v>10941.840061109999</v>
      </c>
      <c r="J43" s="400">
        <f>I43-I43/'Тарифные ставки'!$B$15</f>
        <v>1823.6400101849995</v>
      </c>
      <c r="K43" s="450">
        <v>10222.675378124999</v>
      </c>
      <c r="L43" s="450">
        <f t="shared" si="4"/>
        <v>7.034994816757106</v>
      </c>
    </row>
    <row r="44" spans="1:12" ht="15.75">
      <c r="A44" s="69"/>
      <c r="B44" s="609"/>
      <c r="C44" s="70"/>
      <c r="D44" s="233" t="s">
        <v>47</v>
      </c>
      <c r="E44" s="399">
        <f>'Тарифные ставки'!$B$6</f>
        <v>148.166</v>
      </c>
      <c r="F44" s="516">
        <f>F43</f>
        <v>12.25</v>
      </c>
      <c r="G44" s="399">
        <f t="shared" si="3"/>
        <v>1815.0335</v>
      </c>
      <c r="H44" s="399"/>
      <c r="I44" s="399"/>
      <c r="J44" s="399"/>
      <c r="K44" s="490"/>
      <c r="L44" s="490"/>
    </row>
    <row r="45" spans="1:12" ht="15.75">
      <c r="A45" s="73" t="s">
        <v>911</v>
      </c>
      <c r="B45" s="39" t="s">
        <v>1407</v>
      </c>
      <c r="C45" s="74" t="s">
        <v>194</v>
      </c>
      <c r="D45" s="234" t="s">
        <v>2316</v>
      </c>
      <c r="E45" s="398">
        <f>'Тарифные ставки'!$B$5</f>
        <v>137.4825</v>
      </c>
      <c r="F45" s="510">
        <v>2.88</v>
      </c>
      <c r="G45" s="398">
        <f>E45*F45</f>
        <v>395.9496</v>
      </c>
      <c r="H45" s="398">
        <f>G45*'Тарифные ставки'!$B$13</f>
        <v>1021.5499679999999</v>
      </c>
      <c r="I45" s="398">
        <f>H45*'Тарифные ставки'!$B$14*'Тарифные ставки'!$B$15</f>
        <v>1238.118561216</v>
      </c>
      <c r="J45" s="398">
        <f>I45-I45/'Тарифные ставки'!$B$15</f>
        <v>206.35309353599996</v>
      </c>
      <c r="K45" s="491">
        <v>1157.3527319999998</v>
      </c>
      <c r="L45" s="491">
        <f t="shared" si="4"/>
        <v>6.9784973053487676</v>
      </c>
    </row>
    <row r="46" spans="1:12" ht="15.75">
      <c r="A46" s="73" t="s">
        <v>1408</v>
      </c>
      <c r="B46" s="39" t="s">
        <v>1409</v>
      </c>
      <c r="C46" s="74" t="s">
        <v>194</v>
      </c>
      <c r="D46" s="234" t="s">
        <v>2316</v>
      </c>
      <c r="E46" s="398">
        <f>'Тарифные ставки'!$B$5</f>
        <v>137.4825</v>
      </c>
      <c r="F46" s="510">
        <v>5.76</v>
      </c>
      <c r="G46" s="398">
        <f>E46*F46</f>
        <v>791.8992</v>
      </c>
      <c r="H46" s="398">
        <f>G46*'Тарифные ставки'!$B$13</f>
        <v>2043.0999359999998</v>
      </c>
      <c r="I46" s="398">
        <f>H46*'Тарифные ставки'!$B$14*'Тарифные ставки'!$B$15</f>
        <v>2476.237122432</v>
      </c>
      <c r="J46" s="398">
        <f>I46-I46/'Тарифные ставки'!$B$15</f>
        <v>412.7061870719999</v>
      </c>
      <c r="K46" s="491">
        <v>2314.7054639999997</v>
      </c>
      <c r="L46" s="491">
        <f t="shared" si="4"/>
        <v>6.9784973053487676</v>
      </c>
    </row>
    <row r="47" spans="1:12" ht="15.75">
      <c r="A47" s="71" t="s">
        <v>1410</v>
      </c>
      <c r="B47" s="11" t="s">
        <v>1411</v>
      </c>
      <c r="C47" s="72" t="s">
        <v>194</v>
      </c>
      <c r="D47" s="228" t="s">
        <v>2316</v>
      </c>
      <c r="E47" s="400">
        <f>'Тарифные ставки'!$B$5</f>
        <v>137.4825</v>
      </c>
      <c r="F47" s="514">
        <v>2</v>
      </c>
      <c r="G47" s="400">
        <f>F47*E47</f>
        <v>274.965</v>
      </c>
      <c r="H47" s="400">
        <f>(G47+G48)*'Тарифные ставки'!$B$13</f>
        <v>1473.9462600000002</v>
      </c>
      <c r="I47" s="400">
        <f>H47*'Тарифные ставки'!$B$14*'Тарифные ставки'!$B$15</f>
        <v>1786.42286712</v>
      </c>
      <c r="J47" s="400">
        <f>I47-I47/'Тарифные ставки'!$B$15</f>
        <v>297.7371445199999</v>
      </c>
      <c r="K47" s="450">
        <v>1669.008225</v>
      </c>
      <c r="L47" s="450">
        <f t="shared" si="4"/>
        <v>7.034994816757106</v>
      </c>
    </row>
    <row r="48" spans="1:12" ht="15.75">
      <c r="A48" s="69"/>
      <c r="B48" s="30"/>
      <c r="C48" s="70"/>
      <c r="D48" s="233" t="s">
        <v>47</v>
      </c>
      <c r="E48" s="399">
        <f>'Тарифные ставки'!$B$6</f>
        <v>148.166</v>
      </c>
      <c r="F48" s="516">
        <v>2</v>
      </c>
      <c r="G48" s="399">
        <f>F48*E48</f>
        <v>296.332</v>
      </c>
      <c r="H48" s="399"/>
      <c r="I48" s="399"/>
      <c r="J48" s="399"/>
      <c r="K48" s="490"/>
      <c r="L48" s="490"/>
    </row>
    <row r="49" spans="1:12" ht="15.75">
      <c r="A49" s="71" t="s">
        <v>1412</v>
      </c>
      <c r="B49" s="608" t="s">
        <v>1413</v>
      </c>
      <c r="C49" s="72" t="s">
        <v>194</v>
      </c>
      <c r="D49" s="228" t="s">
        <v>2316</v>
      </c>
      <c r="E49" s="400">
        <f>'Тарифные ставки'!$B$5</f>
        <v>137.4825</v>
      </c>
      <c r="F49" s="514">
        <v>8.5</v>
      </c>
      <c r="G49" s="400">
        <f aca="true" t="shared" si="5" ref="G49:G60">F49*E49</f>
        <v>1168.60125</v>
      </c>
      <c r="H49" s="400">
        <f>(G49+G50)*'Тарифные ставки'!$B$13</f>
        <v>6264.271605</v>
      </c>
      <c r="I49" s="400">
        <f>H49*'Тарифные ставки'!$B$14*'Тарифные ставки'!$B$15</f>
        <v>7592.297185259999</v>
      </c>
      <c r="J49" s="400">
        <f>I49-I49/'Тарифные ставки'!$B$15</f>
        <v>1265.3828642099998</v>
      </c>
      <c r="K49" s="450">
        <v>7093.2849562500005</v>
      </c>
      <c r="L49" s="450">
        <f t="shared" si="4"/>
        <v>7.034994816757106</v>
      </c>
    </row>
    <row r="50" spans="1:12" ht="15.75">
      <c r="A50" s="69"/>
      <c r="B50" s="609"/>
      <c r="C50" s="70"/>
      <c r="D50" s="233" t="s">
        <v>47</v>
      </c>
      <c r="E50" s="399">
        <f>'Тарифные ставки'!$B$6</f>
        <v>148.166</v>
      </c>
      <c r="F50" s="516">
        <v>8.5</v>
      </c>
      <c r="G50" s="399">
        <f t="shared" si="5"/>
        <v>1259.411</v>
      </c>
      <c r="H50" s="399"/>
      <c r="I50" s="399"/>
      <c r="J50" s="399"/>
      <c r="K50" s="490"/>
      <c r="L50" s="490"/>
    </row>
    <row r="51" spans="1:12" ht="15.75">
      <c r="A51" s="73" t="s">
        <v>1414</v>
      </c>
      <c r="B51" s="111" t="s">
        <v>1415</v>
      </c>
      <c r="C51" s="74" t="s">
        <v>1416</v>
      </c>
      <c r="D51" s="234" t="s">
        <v>2316</v>
      </c>
      <c r="E51" s="398">
        <f>'Тарифные ставки'!$B$5</f>
        <v>137.4825</v>
      </c>
      <c r="F51" s="510">
        <v>2</v>
      </c>
      <c r="G51" s="398">
        <f t="shared" si="5"/>
        <v>274.965</v>
      </c>
      <c r="H51" s="398">
        <f>G51*'Тарифные ставки'!$B$13</f>
        <v>709.4096999999999</v>
      </c>
      <c r="I51" s="398">
        <f>H51*'Тарифные ставки'!$B$14*'Тарифные ставки'!$B$15</f>
        <v>859.8045563999999</v>
      </c>
      <c r="J51" s="398">
        <f>I51-I51/'Тарифные ставки'!$B$15</f>
        <v>143.30075939999995</v>
      </c>
      <c r="K51" s="491">
        <v>803.717175</v>
      </c>
      <c r="L51" s="491">
        <f t="shared" si="4"/>
        <v>6.978497305348725</v>
      </c>
    </row>
    <row r="52" spans="1:12" ht="15.75">
      <c r="A52" s="73" t="s">
        <v>1417</v>
      </c>
      <c r="B52" s="111" t="s">
        <v>1418</v>
      </c>
      <c r="C52" s="74" t="s">
        <v>1416</v>
      </c>
      <c r="D52" s="234" t="s">
        <v>2316</v>
      </c>
      <c r="E52" s="398">
        <f>'Тарифные ставки'!$B$5</f>
        <v>137.4825</v>
      </c>
      <c r="F52" s="510">
        <v>1</v>
      </c>
      <c r="G52" s="398">
        <f t="shared" si="5"/>
        <v>137.4825</v>
      </c>
      <c r="H52" s="398">
        <f>G52*'Тарифные ставки'!$B$13</f>
        <v>354.70484999999996</v>
      </c>
      <c r="I52" s="398">
        <f>H52*'Тарифные ставки'!$B$14*'Тарифные ставки'!$B$15</f>
        <v>429.90227819999996</v>
      </c>
      <c r="J52" s="398">
        <f>I52-I52/'Тарифные ставки'!$B$15</f>
        <v>71.65037969999997</v>
      </c>
      <c r="K52" s="491">
        <v>401.8585875</v>
      </c>
      <c r="L52" s="491">
        <f t="shared" si="4"/>
        <v>6.978497305348725</v>
      </c>
    </row>
    <row r="53" spans="1:12" ht="15.75">
      <c r="A53" s="73" t="s">
        <v>1419</v>
      </c>
      <c r="B53" s="111" t="s">
        <v>69</v>
      </c>
      <c r="C53" s="74" t="s">
        <v>1416</v>
      </c>
      <c r="D53" s="234" t="s">
        <v>2316</v>
      </c>
      <c r="E53" s="398">
        <f>'Тарифные ставки'!$B$5</f>
        <v>137.4825</v>
      </c>
      <c r="F53" s="510">
        <v>2</v>
      </c>
      <c r="G53" s="398">
        <f t="shared" si="5"/>
        <v>274.965</v>
      </c>
      <c r="H53" s="398">
        <f>G53*'Тарифные ставки'!$B$13</f>
        <v>709.4096999999999</v>
      </c>
      <c r="I53" s="398">
        <f>H53*'Тарифные ставки'!$B$14*'Тарифные ставки'!$B$15</f>
        <v>859.8045563999999</v>
      </c>
      <c r="J53" s="398">
        <f>I53-I53/'Тарифные ставки'!$B$15</f>
        <v>143.30075939999995</v>
      </c>
      <c r="K53" s="491">
        <v>803.717175</v>
      </c>
      <c r="L53" s="491">
        <f t="shared" si="4"/>
        <v>6.978497305348725</v>
      </c>
    </row>
    <row r="54" spans="1:12" ht="15.75">
      <c r="A54" s="67" t="s">
        <v>1420</v>
      </c>
      <c r="B54" s="12" t="s">
        <v>2412</v>
      </c>
      <c r="C54" s="236" t="s">
        <v>894</v>
      </c>
      <c r="D54" s="237" t="s">
        <v>2316</v>
      </c>
      <c r="E54" s="396">
        <f>'Тарифные ставки'!$B$5</f>
        <v>137.4825</v>
      </c>
      <c r="F54" s="512">
        <v>0.64</v>
      </c>
      <c r="G54" s="396">
        <f t="shared" si="5"/>
        <v>87.9888</v>
      </c>
      <c r="H54" s="396">
        <f>(G54+G55)*'Тарифные ставки'!$B$13</f>
        <v>340.516656</v>
      </c>
      <c r="I54" s="396">
        <f>H54*'Тарифные ставки'!$B$14*'Тарифные ставки'!$B$15</f>
        <v>412.706187072</v>
      </c>
      <c r="J54" s="396">
        <f>I54-I54/'Тарифные ставки'!$B$15</f>
        <v>68.78436451199997</v>
      </c>
      <c r="K54" s="457">
        <v>385.784244</v>
      </c>
      <c r="L54" s="457">
        <f t="shared" si="4"/>
        <v>6.978497305348739</v>
      </c>
    </row>
    <row r="55" spans="1:16" ht="15.75">
      <c r="A55" s="69"/>
      <c r="B55" s="30"/>
      <c r="C55" s="245"/>
      <c r="D55" s="233" t="s">
        <v>2316</v>
      </c>
      <c r="E55" s="398">
        <f>'Тарифные ставки'!$B$5</f>
        <v>137.4825</v>
      </c>
      <c r="F55" s="513">
        <v>0.32</v>
      </c>
      <c r="G55" s="399">
        <f t="shared" si="5"/>
        <v>43.9944</v>
      </c>
      <c r="H55" s="399"/>
      <c r="I55" s="399"/>
      <c r="J55" s="399"/>
      <c r="K55" s="490"/>
      <c r="L55" s="490"/>
      <c r="P55" s="3" t="s">
        <v>2356</v>
      </c>
    </row>
    <row r="56" spans="1:10" ht="15.75" hidden="1">
      <c r="A56" s="73" t="s">
        <v>1421</v>
      </c>
      <c r="B56" s="39" t="s">
        <v>1422</v>
      </c>
      <c r="C56" s="74" t="s">
        <v>894</v>
      </c>
      <c r="D56" s="228" t="s">
        <v>2316</v>
      </c>
      <c r="E56" s="400">
        <v>78.97</v>
      </c>
      <c r="F56" s="510">
        <v>0.24</v>
      </c>
      <c r="G56" s="398">
        <f t="shared" si="5"/>
        <v>18.9528</v>
      </c>
      <c r="H56" s="398">
        <f>G56*'Тарифные ставки'!$B$13</f>
        <v>48.898224</v>
      </c>
      <c r="I56" s="398">
        <f>H56*'Тарифные ставки'!$B$14*'Тарифные ставки'!$B$15</f>
        <v>59.264647487999994</v>
      </c>
      <c r="J56" s="398">
        <f t="shared" si="1"/>
        <v>9.681848352000001</v>
      </c>
    </row>
    <row r="57" spans="1:10" ht="15.75" hidden="1">
      <c r="A57" s="73" t="s">
        <v>1423</v>
      </c>
      <c r="B57" s="39" t="s">
        <v>1424</v>
      </c>
      <c r="C57" s="74" t="s">
        <v>894</v>
      </c>
      <c r="D57" s="228" t="s">
        <v>2316</v>
      </c>
      <c r="E57" s="400">
        <v>78.97</v>
      </c>
      <c r="F57" s="510">
        <v>1.44</v>
      </c>
      <c r="G57" s="398">
        <f t="shared" si="5"/>
        <v>113.71679999999999</v>
      </c>
      <c r="H57" s="398">
        <f>G57*'Тарифные ставки'!$B$13</f>
        <v>293.389344</v>
      </c>
      <c r="I57" s="400">
        <f>H57*'Тарифные ставки'!$B$14*'Тарифные ставки'!$B$15</f>
        <v>355.587884928</v>
      </c>
      <c r="J57" s="400">
        <f t="shared" si="1"/>
        <v>58.091090112</v>
      </c>
    </row>
    <row r="58" spans="1:10" ht="15.75" hidden="1">
      <c r="A58" s="73" t="s">
        <v>1425</v>
      </c>
      <c r="B58" s="39" t="s">
        <v>1426</v>
      </c>
      <c r="C58" s="74" t="s">
        <v>1416</v>
      </c>
      <c r="D58" s="228" t="s">
        <v>2316</v>
      </c>
      <c r="E58" s="400">
        <v>78.97</v>
      </c>
      <c r="F58" s="510">
        <v>0.36</v>
      </c>
      <c r="G58" s="398">
        <f t="shared" si="5"/>
        <v>28.429199999999998</v>
      </c>
      <c r="H58" s="398">
        <f>G58*'Тарифные ставки'!$B$13</f>
        <v>73.347336</v>
      </c>
      <c r="I58" s="398">
        <f>H58*'Тарифные ставки'!$B$14*'Тарифные ставки'!$B$15</f>
        <v>88.896971232</v>
      </c>
      <c r="J58" s="398">
        <f t="shared" si="1"/>
        <v>14.522772528</v>
      </c>
    </row>
    <row r="59" spans="1:10" ht="31.5" hidden="1">
      <c r="A59" s="71" t="s">
        <v>1427</v>
      </c>
      <c r="B59" s="195" t="s">
        <v>1550</v>
      </c>
      <c r="C59" s="72" t="s">
        <v>1416</v>
      </c>
      <c r="D59" s="228" t="s">
        <v>2316</v>
      </c>
      <c r="E59" s="400">
        <v>78.97</v>
      </c>
      <c r="F59" s="514">
        <v>2.16</v>
      </c>
      <c r="G59" s="400">
        <f t="shared" si="5"/>
        <v>170.5752</v>
      </c>
      <c r="H59" s="400">
        <f>G59*'Тарифные ставки'!$B$13</f>
        <v>440.084016</v>
      </c>
      <c r="I59" s="400">
        <f>H59*'Тарифные ставки'!$B$14*'Тарифные ставки'!$B$15</f>
        <v>533.381827392</v>
      </c>
      <c r="J59" s="400">
        <f t="shared" si="1"/>
        <v>87.136635168</v>
      </c>
    </row>
    <row r="60" spans="1:10" ht="15.75" hidden="1">
      <c r="A60" s="69"/>
      <c r="B60" s="26" t="s">
        <v>1282</v>
      </c>
      <c r="C60" s="70"/>
      <c r="D60" s="233" t="s">
        <v>50</v>
      </c>
      <c r="E60" s="399">
        <v>78.97</v>
      </c>
      <c r="F60" s="516">
        <v>3.24</v>
      </c>
      <c r="G60" s="399">
        <f t="shared" si="5"/>
        <v>255.86280000000002</v>
      </c>
      <c r="H60" s="399">
        <f>G60*'Тарифные ставки'!$B$13</f>
        <v>660.126024</v>
      </c>
      <c r="I60" s="399">
        <f>H60*'Тарифные ставки'!$B$14*'Тарифные ставки'!$B$15</f>
        <v>800.072741088</v>
      </c>
      <c r="J60" s="399">
        <f t="shared" si="1"/>
        <v>130.70495275200003</v>
      </c>
    </row>
    <row r="61" spans="1:10" ht="31.5" hidden="1">
      <c r="A61" s="71" t="s">
        <v>1428</v>
      </c>
      <c r="B61" s="195" t="s">
        <v>1549</v>
      </c>
      <c r="C61" s="72" t="s">
        <v>1416</v>
      </c>
      <c r="D61" s="228" t="s">
        <v>2316</v>
      </c>
      <c r="E61" s="400">
        <v>78.97</v>
      </c>
      <c r="F61" s="514">
        <v>1.44</v>
      </c>
      <c r="G61" s="400">
        <f>F61*E61</f>
        <v>113.71679999999999</v>
      </c>
      <c r="H61" s="400">
        <f>G61*'Тарифные ставки'!$B$13</f>
        <v>293.389344</v>
      </c>
      <c r="I61" s="400">
        <f>H61*'Тарифные ставки'!$B$14*'Тарифные ставки'!$B$15</f>
        <v>355.587884928</v>
      </c>
      <c r="J61" s="400">
        <f t="shared" si="1"/>
        <v>58.091090112</v>
      </c>
    </row>
    <row r="62" spans="1:10" ht="15.75" hidden="1">
      <c r="A62" s="69"/>
      <c r="B62" s="26" t="s">
        <v>1282</v>
      </c>
      <c r="C62" s="70"/>
      <c r="D62" s="233" t="s">
        <v>50</v>
      </c>
      <c r="E62" s="399">
        <v>78.97</v>
      </c>
      <c r="F62" s="516">
        <v>2.16</v>
      </c>
      <c r="G62" s="399">
        <f>F62*E62</f>
        <v>170.5752</v>
      </c>
      <c r="H62" s="399">
        <f>G62*'Тарифные ставки'!$B$13</f>
        <v>440.084016</v>
      </c>
      <c r="I62" s="399">
        <f>H62*'Тарифные ставки'!$B$14*'Тарифные ставки'!$B$15</f>
        <v>533.381827392</v>
      </c>
      <c r="J62" s="399">
        <f t="shared" si="1"/>
        <v>87.136635168</v>
      </c>
    </row>
    <row r="63" spans="1:10" ht="15.75" hidden="1">
      <c r="A63" s="73" t="s">
        <v>1429</v>
      </c>
      <c r="B63" s="39" t="s">
        <v>1430</v>
      </c>
      <c r="C63" s="74" t="s">
        <v>1416</v>
      </c>
      <c r="D63" s="233" t="s">
        <v>50</v>
      </c>
      <c r="E63" s="399">
        <v>78.97</v>
      </c>
      <c r="F63" s="510">
        <v>0.86</v>
      </c>
      <c r="G63" s="398">
        <f>F63*E63</f>
        <v>67.9142</v>
      </c>
      <c r="H63" s="398">
        <f>G63*'Тарифные ставки'!$B$13</f>
        <v>175.21863599999998</v>
      </c>
      <c r="I63" s="398">
        <f>H63*'Тарифные ставки'!$B$14*'Тарифные ставки'!$B$15</f>
        <v>212.36498683199997</v>
      </c>
      <c r="J63" s="398">
        <f t="shared" si="1"/>
        <v>34.693289928</v>
      </c>
    </row>
    <row r="64" spans="1:10" ht="15.75" hidden="1">
      <c r="A64" s="73" t="s">
        <v>1431</v>
      </c>
      <c r="B64" s="39" t="s">
        <v>1432</v>
      </c>
      <c r="C64" s="74" t="s">
        <v>1416</v>
      </c>
      <c r="D64" s="233" t="s">
        <v>50</v>
      </c>
      <c r="E64" s="399">
        <v>78.97</v>
      </c>
      <c r="F64" s="510">
        <v>1.25</v>
      </c>
      <c r="G64" s="398">
        <f aca="true" t="shared" si="6" ref="G64:G78">F64*E64</f>
        <v>98.7125</v>
      </c>
      <c r="H64" s="398">
        <f>G64*'Тарифные ставки'!$B$13</f>
        <v>254.67825000000002</v>
      </c>
      <c r="I64" s="398">
        <f>H64*'Тарифные ставки'!$B$14*'Тарифные ставки'!$B$15</f>
        <v>308.670039</v>
      </c>
      <c r="J64" s="398">
        <f t="shared" si="1"/>
        <v>50.42629350000001</v>
      </c>
    </row>
    <row r="65" spans="1:10" ht="15.75" hidden="1">
      <c r="A65" s="73" t="s">
        <v>1433</v>
      </c>
      <c r="B65" s="39" t="s">
        <v>1434</v>
      </c>
      <c r="C65" s="74" t="s">
        <v>1416</v>
      </c>
      <c r="D65" s="233" t="s">
        <v>50</v>
      </c>
      <c r="E65" s="399">
        <v>78.97</v>
      </c>
      <c r="F65" s="510">
        <v>3.03</v>
      </c>
      <c r="G65" s="398">
        <f t="shared" si="6"/>
        <v>239.27909999999997</v>
      </c>
      <c r="H65" s="398">
        <f>G65*'Тарифные ставки'!$B$13</f>
        <v>617.340078</v>
      </c>
      <c r="I65" s="398">
        <f>H65*'Тарифные ставки'!$B$14*'Тарифные ставки'!$B$15</f>
        <v>748.2161745359998</v>
      </c>
      <c r="J65" s="398">
        <f t="shared" si="1"/>
        <v>122.233335444</v>
      </c>
    </row>
    <row r="66" spans="1:10" ht="15.75" hidden="1">
      <c r="A66" s="73" t="s">
        <v>1435</v>
      </c>
      <c r="B66" s="39" t="s">
        <v>1436</v>
      </c>
      <c r="C66" s="74" t="s">
        <v>1416</v>
      </c>
      <c r="D66" s="233" t="s">
        <v>50</v>
      </c>
      <c r="E66" s="399">
        <v>78.97</v>
      </c>
      <c r="F66" s="510">
        <v>1.44</v>
      </c>
      <c r="G66" s="398">
        <f t="shared" si="6"/>
        <v>113.71679999999999</v>
      </c>
      <c r="H66" s="398">
        <f>G66*'Тарифные ставки'!$B$13</f>
        <v>293.389344</v>
      </c>
      <c r="I66" s="398">
        <f>H66*'Тарифные ставки'!$B$14*'Тарифные ставки'!$B$15</f>
        <v>355.587884928</v>
      </c>
      <c r="J66" s="398">
        <f t="shared" si="1"/>
        <v>58.091090112</v>
      </c>
    </row>
    <row r="67" spans="1:10" ht="15.75" hidden="1">
      <c r="A67" s="71" t="s">
        <v>1437</v>
      </c>
      <c r="B67" s="11" t="s">
        <v>1742</v>
      </c>
      <c r="C67" s="244" t="s">
        <v>1416</v>
      </c>
      <c r="D67" s="228" t="s">
        <v>2316</v>
      </c>
      <c r="E67" s="400">
        <v>78.97</v>
      </c>
      <c r="F67" s="511">
        <v>2.16</v>
      </c>
      <c r="G67" s="400">
        <f t="shared" si="6"/>
        <v>170.5752</v>
      </c>
      <c r="H67" s="400">
        <f>G67*'Тарифные ставки'!$B$13</f>
        <v>440.084016</v>
      </c>
      <c r="I67" s="400">
        <f>H67*'Тарифные ставки'!$B$14*'Тарифные ставки'!$B$15</f>
        <v>533.381827392</v>
      </c>
      <c r="J67" s="400">
        <f t="shared" si="1"/>
        <v>87.136635168</v>
      </c>
    </row>
    <row r="68" spans="1:10" ht="15.75" hidden="1">
      <c r="A68" s="67"/>
      <c r="B68" s="14" t="s">
        <v>1301</v>
      </c>
      <c r="C68" s="236"/>
      <c r="D68" s="237" t="s">
        <v>2316</v>
      </c>
      <c r="E68" s="400">
        <v>78.97</v>
      </c>
      <c r="F68" s="512">
        <v>2.88</v>
      </c>
      <c r="G68" s="396">
        <f t="shared" si="6"/>
        <v>227.43359999999998</v>
      </c>
      <c r="H68" s="396">
        <f>G68*'Тарифные ставки'!$B$13</f>
        <v>586.778688</v>
      </c>
      <c r="I68" s="396">
        <f>H68*'Тарифные ставки'!$B$14*'Тарифные ставки'!$B$15</f>
        <v>711.175769856</v>
      </c>
      <c r="J68" s="396">
        <f t="shared" si="1"/>
        <v>116.182180224</v>
      </c>
    </row>
    <row r="69" spans="1:10" ht="15.75" hidden="1">
      <c r="A69" s="69"/>
      <c r="B69" s="26" t="s">
        <v>1242</v>
      </c>
      <c r="C69" s="245"/>
      <c r="D69" s="237" t="s">
        <v>2316</v>
      </c>
      <c r="E69" s="400">
        <v>78.97</v>
      </c>
      <c r="F69" s="513">
        <v>4.3</v>
      </c>
      <c r="G69" s="399">
        <f t="shared" si="6"/>
        <v>339.57099999999997</v>
      </c>
      <c r="H69" s="399">
        <f>G69*'Тарифные ставки'!$B$13</f>
        <v>876.09318</v>
      </c>
      <c r="I69" s="399">
        <f>H69*'Тарифные ставки'!$B$14*'Тарифные ставки'!$B$15</f>
        <v>1061.8249341599999</v>
      </c>
      <c r="J69" s="399">
        <f t="shared" si="1"/>
        <v>173.46644963999998</v>
      </c>
    </row>
    <row r="70" spans="1:10" ht="31.5" hidden="1">
      <c r="A70" s="71" t="s">
        <v>1743</v>
      </c>
      <c r="B70" s="11" t="s">
        <v>1744</v>
      </c>
      <c r="C70" s="72" t="s">
        <v>1416</v>
      </c>
      <c r="D70" s="228" t="s">
        <v>2316</v>
      </c>
      <c r="E70" s="400">
        <v>78.97</v>
      </c>
      <c r="F70" s="514">
        <v>6.5</v>
      </c>
      <c r="G70" s="400">
        <f t="shared" si="6"/>
        <v>513.305</v>
      </c>
      <c r="H70" s="400">
        <f>G70*'Тарифные ставки'!$B$13</f>
        <v>1324.3268999999998</v>
      </c>
      <c r="I70" s="400">
        <f>H70*'Тарифные ставки'!$B$14*'Тарифные ставки'!$B$15</f>
        <v>1605.0842027999997</v>
      </c>
      <c r="J70" s="400">
        <f t="shared" si="1"/>
        <v>262.2167262</v>
      </c>
    </row>
    <row r="71" spans="1:10" ht="15.75" hidden="1">
      <c r="A71" s="67"/>
      <c r="B71" s="14" t="s">
        <v>1301</v>
      </c>
      <c r="C71" s="68"/>
      <c r="D71" s="237" t="s">
        <v>2316</v>
      </c>
      <c r="E71" s="400">
        <v>78.97</v>
      </c>
      <c r="F71" s="515">
        <v>9.4</v>
      </c>
      <c r="G71" s="396">
        <f t="shared" si="6"/>
        <v>742.318</v>
      </c>
      <c r="H71" s="396">
        <f>G71*'Тарифные ставки'!$B$13</f>
        <v>1915.18044</v>
      </c>
      <c r="I71" s="396">
        <f>H71*'Тарифные ставки'!$B$14*'Тарифные ставки'!$B$15</f>
        <v>2321.19869328</v>
      </c>
      <c r="J71" s="396">
        <f t="shared" si="1"/>
        <v>379.20572712000006</v>
      </c>
    </row>
    <row r="72" spans="1:10" ht="15.75" hidden="1">
      <c r="A72" s="69"/>
      <c r="B72" s="26" t="s">
        <v>1242</v>
      </c>
      <c r="C72" s="70"/>
      <c r="D72" s="237" t="s">
        <v>2316</v>
      </c>
      <c r="E72" s="400">
        <v>78.97</v>
      </c>
      <c r="F72" s="516">
        <v>2.9</v>
      </c>
      <c r="G72" s="399">
        <f t="shared" si="6"/>
        <v>229.01299999999998</v>
      </c>
      <c r="H72" s="399">
        <f>G72*'Тарифные ставки'!$B$13</f>
        <v>590.85354</v>
      </c>
      <c r="I72" s="399">
        <f>H72*'Тарифные ставки'!$B$14*'Тарифные ставки'!$B$15</f>
        <v>716.11449048</v>
      </c>
      <c r="J72" s="399">
        <f t="shared" si="1"/>
        <v>116.98900092</v>
      </c>
    </row>
    <row r="73" spans="1:10" ht="15.75" hidden="1">
      <c r="A73" s="71" t="s">
        <v>1745</v>
      </c>
      <c r="B73" s="11" t="s">
        <v>1746</v>
      </c>
      <c r="C73" s="72" t="s">
        <v>1416</v>
      </c>
      <c r="D73" s="228" t="s">
        <v>2316</v>
      </c>
      <c r="E73" s="400">
        <v>78.97</v>
      </c>
      <c r="F73" s="514">
        <v>5</v>
      </c>
      <c r="G73" s="400">
        <f t="shared" si="6"/>
        <v>394.85</v>
      </c>
      <c r="H73" s="400">
        <f>G73*'Тарифные ставки'!$B$13</f>
        <v>1018.7130000000001</v>
      </c>
      <c r="I73" s="400">
        <f>H73*'Тарифные ставки'!$B$14*'Тарифные ставки'!$B$15</f>
        <v>1234.680156</v>
      </c>
      <c r="J73" s="400">
        <f aca="true" t="shared" si="7" ref="J73:J121">H73*1.1*0.18</f>
        <v>201.70517400000003</v>
      </c>
    </row>
    <row r="74" spans="1:10" ht="15.75" hidden="1">
      <c r="A74" s="67"/>
      <c r="B74" s="14" t="s">
        <v>1301</v>
      </c>
      <c r="C74" s="68"/>
      <c r="D74" s="237" t="s">
        <v>2316</v>
      </c>
      <c r="E74" s="400">
        <v>78.97</v>
      </c>
      <c r="F74" s="515">
        <v>7.2</v>
      </c>
      <c r="G74" s="396">
        <f t="shared" si="6"/>
        <v>568.5840000000001</v>
      </c>
      <c r="H74" s="396">
        <f>G74*'Тарифные ставки'!$B$13</f>
        <v>1466.9467200000001</v>
      </c>
      <c r="I74" s="396">
        <f>H74*'Тарифные ставки'!$B$14*'Тарифные ставки'!$B$15</f>
        <v>1777.9394246400002</v>
      </c>
      <c r="J74" s="396">
        <f t="shared" si="7"/>
        <v>290.45545056000003</v>
      </c>
    </row>
    <row r="75" spans="1:10" ht="15.75" hidden="1">
      <c r="A75" s="69"/>
      <c r="B75" s="26" t="s">
        <v>1242</v>
      </c>
      <c r="C75" s="70"/>
      <c r="D75" s="237" t="s">
        <v>2316</v>
      </c>
      <c r="E75" s="400">
        <v>78.97</v>
      </c>
      <c r="F75" s="516">
        <v>10.2</v>
      </c>
      <c r="G75" s="399">
        <f t="shared" si="6"/>
        <v>805.4939999999999</v>
      </c>
      <c r="H75" s="399">
        <f>G75*'Тарифные ставки'!$B$13</f>
        <v>2078.17452</v>
      </c>
      <c r="I75" s="399">
        <f>H75*'Тарифные ставки'!$B$14*'Тарифные ставки'!$B$15</f>
        <v>2518.74751824</v>
      </c>
      <c r="J75" s="399">
        <f t="shared" si="7"/>
        <v>411.47855496000005</v>
      </c>
    </row>
    <row r="76" spans="1:10" ht="31.5" hidden="1">
      <c r="A76" s="71" t="s">
        <v>1747</v>
      </c>
      <c r="B76" s="11" t="s">
        <v>1748</v>
      </c>
      <c r="C76" s="244" t="s">
        <v>1416</v>
      </c>
      <c r="D76" s="228" t="s">
        <v>2316</v>
      </c>
      <c r="E76" s="400">
        <v>78.97</v>
      </c>
      <c r="F76" s="511">
        <v>0.72</v>
      </c>
      <c r="G76" s="400">
        <f t="shared" si="6"/>
        <v>56.858399999999996</v>
      </c>
      <c r="H76" s="400">
        <f>G76*'Тарифные ставки'!$B$13</f>
        <v>146.694672</v>
      </c>
      <c r="I76" s="400">
        <f>H76*'Тарифные ставки'!$B$14*'Тарифные ставки'!$B$15</f>
        <v>177.793942464</v>
      </c>
      <c r="J76" s="400">
        <f t="shared" si="7"/>
        <v>29.045545056</v>
      </c>
    </row>
    <row r="77" spans="1:10" ht="15.75" hidden="1">
      <c r="A77" s="69"/>
      <c r="B77" s="26" t="s">
        <v>1749</v>
      </c>
      <c r="C77" s="245"/>
      <c r="D77" s="233" t="s">
        <v>2316</v>
      </c>
      <c r="E77" s="400">
        <v>78.97</v>
      </c>
      <c r="F77" s="513">
        <v>7.44</v>
      </c>
      <c r="G77" s="399">
        <f t="shared" si="6"/>
        <v>587.5368</v>
      </c>
      <c r="H77" s="399">
        <f>G77*'Тарифные ставки'!$B$13</f>
        <v>1515.844944</v>
      </c>
      <c r="I77" s="399">
        <f>H77*'Тарифные ставки'!$B$14*'Тарифные ставки'!$B$15</f>
        <v>1837.2040721279998</v>
      </c>
      <c r="J77" s="399">
        <f t="shared" si="7"/>
        <v>300.137298912</v>
      </c>
    </row>
    <row r="78" spans="1:10" ht="15.75" hidden="1">
      <c r="A78" s="73" t="s">
        <v>1750</v>
      </c>
      <c r="B78" s="175" t="s">
        <v>1551</v>
      </c>
      <c r="C78" s="74" t="s">
        <v>1416</v>
      </c>
      <c r="D78" s="228" t="s">
        <v>2316</v>
      </c>
      <c r="E78" s="400">
        <v>78.97</v>
      </c>
      <c r="F78" s="510">
        <v>4.7</v>
      </c>
      <c r="G78" s="398">
        <f t="shared" si="6"/>
        <v>371.159</v>
      </c>
      <c r="H78" s="398">
        <f>G78*'Тарифные ставки'!$B$13</f>
        <v>957.59022</v>
      </c>
      <c r="I78" s="398">
        <f>H78*'Тарифные ставки'!$B$14*'Тарифные ставки'!$B$15</f>
        <v>1160.59934664</v>
      </c>
      <c r="J78" s="398">
        <f t="shared" si="7"/>
        <v>189.60286356000003</v>
      </c>
    </row>
    <row r="79" spans="2:6" ht="15.75">
      <c r="B79" s="6"/>
      <c r="F79" s="376"/>
    </row>
    <row r="80" spans="1:9" ht="15.75">
      <c r="A80" s="604" t="s">
        <v>71</v>
      </c>
      <c r="B80" s="604"/>
      <c r="C80" s="604"/>
      <c r="D80" s="604"/>
      <c r="E80" s="604"/>
      <c r="F80" s="604"/>
      <c r="G80" s="604"/>
      <c r="H80" s="604"/>
      <c r="I80" s="604"/>
    </row>
    <row r="81" spans="1:9" ht="15.75">
      <c r="A81" s="311"/>
      <c r="B81" s="311"/>
      <c r="C81" s="311"/>
      <c r="D81" s="311"/>
      <c r="E81" s="413"/>
      <c r="F81" s="413"/>
      <c r="G81" s="413"/>
      <c r="H81" s="413"/>
      <c r="I81" s="413"/>
    </row>
    <row r="82" spans="1:10" ht="70.5" customHeight="1">
      <c r="A82" s="328" t="s">
        <v>83</v>
      </c>
      <c r="B82" s="313" t="s">
        <v>82</v>
      </c>
      <c r="C82" s="313" t="s">
        <v>77</v>
      </c>
      <c r="D82" s="313" t="s">
        <v>81</v>
      </c>
      <c r="E82" s="393" t="s">
        <v>85</v>
      </c>
      <c r="F82" s="393" t="s">
        <v>78</v>
      </c>
      <c r="G82" s="393" t="s">
        <v>79</v>
      </c>
      <c r="H82" s="393" t="s">
        <v>80</v>
      </c>
      <c r="I82" s="394" t="s">
        <v>843</v>
      </c>
      <c r="J82" s="394" t="s">
        <v>2349</v>
      </c>
    </row>
    <row r="83" spans="1:10" ht="15.75" hidden="1">
      <c r="A83" s="71" t="s">
        <v>1751</v>
      </c>
      <c r="B83" s="11" t="s">
        <v>1752</v>
      </c>
      <c r="C83" s="244" t="s">
        <v>806</v>
      </c>
      <c r="D83" s="36"/>
      <c r="E83" s="400"/>
      <c r="F83" s="511"/>
      <c r="G83" s="400"/>
      <c r="H83" s="400"/>
      <c r="I83" s="400"/>
      <c r="J83" s="398">
        <f t="shared" si="7"/>
        <v>0</v>
      </c>
    </row>
    <row r="84" spans="1:10" ht="15.75" hidden="1">
      <c r="A84" s="67"/>
      <c r="B84" s="14" t="s">
        <v>1753</v>
      </c>
      <c r="C84" s="236"/>
      <c r="D84" s="237" t="s">
        <v>2316</v>
      </c>
      <c r="E84" s="396">
        <v>78.97</v>
      </c>
      <c r="F84" s="512">
        <v>7</v>
      </c>
      <c r="G84" s="396">
        <f>F84*E84</f>
        <v>552.79</v>
      </c>
      <c r="H84" s="396">
        <f>G84*'Тарифные ставки'!$B$13</f>
        <v>1426.1982</v>
      </c>
      <c r="I84" s="396">
        <f>H84*'Тарифные ставки'!$B$14*'Тарифные ставки'!$B$15</f>
        <v>1728.5522184</v>
      </c>
      <c r="J84" s="398">
        <f t="shared" si="7"/>
        <v>282.38724360000003</v>
      </c>
    </row>
    <row r="85" spans="1:10" ht="15.75" hidden="1">
      <c r="A85" s="67"/>
      <c r="B85" s="14" t="s">
        <v>1754</v>
      </c>
      <c r="C85" s="236"/>
      <c r="D85" s="237" t="s">
        <v>2316</v>
      </c>
      <c r="E85" s="396">
        <v>78.97</v>
      </c>
      <c r="F85" s="512">
        <v>8.78</v>
      </c>
      <c r="G85" s="396">
        <f aca="true" t="shared" si="8" ref="G85:G102">F85*E85</f>
        <v>693.3566</v>
      </c>
      <c r="H85" s="396">
        <f>G85*'Тарифные ставки'!$B$13</f>
        <v>1788.8600279999998</v>
      </c>
      <c r="I85" s="396">
        <f>H85*'Тарифные ставки'!$B$14*'Тарифные ставки'!$B$15</f>
        <v>2168.0983539359995</v>
      </c>
      <c r="J85" s="398">
        <f t="shared" si="7"/>
        <v>354.19428554399997</v>
      </c>
    </row>
    <row r="86" spans="1:10" ht="15.75" hidden="1">
      <c r="A86" s="69"/>
      <c r="B86" s="26" t="s">
        <v>1755</v>
      </c>
      <c r="C86" s="245"/>
      <c r="D86" s="237" t="s">
        <v>2316</v>
      </c>
      <c r="E86" s="396">
        <v>78.97</v>
      </c>
      <c r="F86" s="513">
        <v>10.43</v>
      </c>
      <c r="G86" s="399">
        <f t="shared" si="8"/>
        <v>823.6571</v>
      </c>
      <c r="H86" s="399">
        <f>G86*'Тарифные ставки'!$B$13</f>
        <v>2125.035318</v>
      </c>
      <c r="I86" s="399">
        <f>H86*'Тарифные ставки'!$B$14*'Тарифные ставки'!$B$15</f>
        <v>2575.5428054159997</v>
      </c>
      <c r="J86" s="398">
        <f t="shared" si="7"/>
        <v>420.756992964</v>
      </c>
    </row>
    <row r="87" spans="1:10" ht="15.75" hidden="1">
      <c r="A87" s="71" t="s">
        <v>1756</v>
      </c>
      <c r="B87" s="11" t="s">
        <v>1757</v>
      </c>
      <c r="C87" s="244" t="s">
        <v>1758</v>
      </c>
      <c r="D87" s="36"/>
      <c r="E87" s="400"/>
      <c r="F87" s="511"/>
      <c r="G87" s="400"/>
      <c r="H87" s="400"/>
      <c r="I87" s="400"/>
      <c r="J87" s="398">
        <f t="shared" si="7"/>
        <v>0</v>
      </c>
    </row>
    <row r="88" spans="1:10" ht="15.75" hidden="1">
      <c r="A88" s="67"/>
      <c r="B88" s="14" t="s">
        <v>1753</v>
      </c>
      <c r="C88" s="236"/>
      <c r="D88" s="237" t="s">
        <v>2316</v>
      </c>
      <c r="E88" s="396">
        <v>78.97</v>
      </c>
      <c r="F88" s="512">
        <v>7.07</v>
      </c>
      <c r="G88" s="396">
        <f t="shared" si="8"/>
        <v>558.3179</v>
      </c>
      <c r="H88" s="396">
        <f>G88*'Тарифные ставки'!$B$13</f>
        <v>1440.460182</v>
      </c>
      <c r="I88" s="396">
        <f>H88*'Тарифные ставки'!$B$14*'Тарифные ставки'!$B$15</f>
        <v>1745.837740584</v>
      </c>
      <c r="J88" s="398">
        <f t="shared" si="7"/>
        <v>285.211116036</v>
      </c>
    </row>
    <row r="89" spans="1:10" ht="15.75" hidden="1">
      <c r="A89" s="67"/>
      <c r="B89" s="14" t="s">
        <v>1754</v>
      </c>
      <c r="C89" s="236"/>
      <c r="D89" s="237" t="s">
        <v>2316</v>
      </c>
      <c r="E89" s="396">
        <v>78.97</v>
      </c>
      <c r="F89" s="512">
        <v>8.8</v>
      </c>
      <c r="G89" s="396">
        <f t="shared" si="8"/>
        <v>694.936</v>
      </c>
      <c r="H89" s="396">
        <f>G89*'Тарифные ставки'!$B$13</f>
        <v>1792.9348800000002</v>
      </c>
      <c r="I89" s="396">
        <f>H89*'Тарифные ставки'!$B$14*'Тарифные ставки'!$B$15</f>
        <v>2173.0370745600003</v>
      </c>
      <c r="J89" s="398">
        <f t="shared" si="7"/>
        <v>355.00110624000007</v>
      </c>
    </row>
    <row r="90" spans="1:10" ht="15.75" hidden="1">
      <c r="A90" s="69"/>
      <c r="B90" s="26" t="s">
        <v>1755</v>
      </c>
      <c r="C90" s="245"/>
      <c r="D90" s="237" t="s">
        <v>2316</v>
      </c>
      <c r="E90" s="396">
        <v>78.97</v>
      </c>
      <c r="F90" s="513">
        <v>10.37</v>
      </c>
      <c r="G90" s="399">
        <f t="shared" si="8"/>
        <v>818.9188999999999</v>
      </c>
      <c r="H90" s="399">
        <f>G90*'Тарифные ставки'!$B$13</f>
        <v>2112.8107619999996</v>
      </c>
      <c r="I90" s="399">
        <f>H90*'Тарифные ставки'!$B$14*'Тарифные ставки'!$B$15</f>
        <v>2560.726643543999</v>
      </c>
      <c r="J90" s="398">
        <f t="shared" si="7"/>
        <v>418.336530876</v>
      </c>
    </row>
    <row r="91" spans="1:10" ht="15.75" hidden="1">
      <c r="A91" s="71" t="s">
        <v>1759</v>
      </c>
      <c r="B91" s="11" t="s">
        <v>1760</v>
      </c>
      <c r="C91" s="244" t="s">
        <v>1761</v>
      </c>
      <c r="D91" s="36"/>
      <c r="E91" s="400"/>
      <c r="F91" s="511"/>
      <c r="G91" s="400"/>
      <c r="H91" s="400"/>
      <c r="I91" s="400"/>
      <c r="J91" s="398">
        <f t="shared" si="7"/>
        <v>0</v>
      </c>
    </row>
    <row r="92" spans="1:10" ht="15.75" hidden="1">
      <c r="A92" s="67"/>
      <c r="B92" s="14" t="s">
        <v>1753</v>
      </c>
      <c r="C92" s="236"/>
      <c r="D92" s="237" t="s">
        <v>2316</v>
      </c>
      <c r="E92" s="396">
        <v>78.97</v>
      </c>
      <c r="F92" s="512">
        <v>8.55</v>
      </c>
      <c r="G92" s="396">
        <f t="shared" si="8"/>
        <v>675.1935000000001</v>
      </c>
      <c r="H92" s="396">
        <f>G92*'Тарифные ставки'!$B$13</f>
        <v>1741.9992300000004</v>
      </c>
      <c r="I92" s="396">
        <f>H92*'Тарифные ставки'!$B$14*'Тарифные ставки'!$B$15</f>
        <v>2111.3030667600005</v>
      </c>
      <c r="J92" s="398">
        <f t="shared" si="7"/>
        <v>344.9158475400001</v>
      </c>
    </row>
    <row r="93" spans="1:10" ht="15.75" hidden="1">
      <c r="A93" s="67"/>
      <c r="B93" s="14" t="s">
        <v>1754</v>
      </c>
      <c r="C93" s="236"/>
      <c r="D93" s="237" t="s">
        <v>2316</v>
      </c>
      <c r="E93" s="396">
        <v>78.97</v>
      </c>
      <c r="F93" s="512">
        <v>10.73</v>
      </c>
      <c r="G93" s="396">
        <f t="shared" si="8"/>
        <v>847.3481</v>
      </c>
      <c r="H93" s="396">
        <f>G93*'Тарифные ставки'!$B$13</f>
        <v>2186.1580980000003</v>
      </c>
      <c r="I93" s="396">
        <f>H93*'Тарифные ставки'!$B$14*'Тарифные ставки'!$B$15</f>
        <v>2649.623614776</v>
      </c>
      <c r="J93" s="398">
        <f t="shared" si="7"/>
        <v>432.85930340400006</v>
      </c>
    </row>
    <row r="94" spans="1:10" ht="15.75" hidden="1">
      <c r="A94" s="69"/>
      <c r="B94" s="26" t="s">
        <v>1755</v>
      </c>
      <c r="C94" s="245"/>
      <c r="D94" s="237" t="s">
        <v>2316</v>
      </c>
      <c r="E94" s="396">
        <v>78.97</v>
      </c>
      <c r="F94" s="513">
        <v>10.94</v>
      </c>
      <c r="G94" s="399">
        <f t="shared" si="8"/>
        <v>863.9318</v>
      </c>
      <c r="H94" s="399">
        <f>G94*'Тарифные ставки'!$B$13</f>
        <v>2228.944044</v>
      </c>
      <c r="I94" s="396">
        <f>H94*'Тарифные ставки'!$B$14*'Тарифные ставки'!$B$15</f>
        <v>2701.4801813279996</v>
      </c>
      <c r="J94" s="398">
        <f t="shared" si="7"/>
        <v>441.33092071199997</v>
      </c>
    </row>
    <row r="95" spans="1:10" ht="15.75" hidden="1">
      <c r="A95" s="71" t="s">
        <v>1762</v>
      </c>
      <c r="B95" s="11" t="s">
        <v>1763</v>
      </c>
      <c r="C95" s="244" t="s">
        <v>1764</v>
      </c>
      <c r="D95" s="36"/>
      <c r="E95" s="400"/>
      <c r="F95" s="511"/>
      <c r="G95" s="400"/>
      <c r="H95" s="400"/>
      <c r="I95" s="400"/>
      <c r="J95" s="398">
        <f t="shared" si="7"/>
        <v>0</v>
      </c>
    </row>
    <row r="96" spans="1:10" ht="15.75" hidden="1">
      <c r="A96" s="67"/>
      <c r="B96" s="14" t="s">
        <v>1753</v>
      </c>
      <c r="C96" s="236"/>
      <c r="D96" s="237" t="s">
        <v>2316</v>
      </c>
      <c r="E96" s="396">
        <v>78.97</v>
      </c>
      <c r="F96" s="512">
        <v>8.65</v>
      </c>
      <c r="G96" s="396">
        <f t="shared" si="8"/>
        <v>683.0905</v>
      </c>
      <c r="H96" s="396">
        <f>G96*'Тарифные ставки'!$B$13</f>
        <v>1762.3734900000002</v>
      </c>
      <c r="I96" s="396">
        <f>H96*'Тарифные ставки'!$B$14*'Тарифные ставки'!$B$15</f>
        <v>2135.9966698800004</v>
      </c>
      <c r="J96" s="398">
        <f t="shared" si="7"/>
        <v>348.94995102000007</v>
      </c>
    </row>
    <row r="97" spans="1:10" ht="15.75" hidden="1">
      <c r="A97" s="67"/>
      <c r="B97" s="14" t="s">
        <v>1754</v>
      </c>
      <c r="C97" s="236"/>
      <c r="D97" s="237" t="s">
        <v>2316</v>
      </c>
      <c r="E97" s="396">
        <v>78.97</v>
      </c>
      <c r="F97" s="512">
        <v>10.17</v>
      </c>
      <c r="G97" s="396">
        <f t="shared" si="8"/>
        <v>803.1249</v>
      </c>
      <c r="H97" s="396">
        <f>G97*'Тарифные ставки'!$B$13</f>
        <v>2072.062242</v>
      </c>
      <c r="I97" s="396">
        <f>H97*'Тарифные ставки'!$B$14*'Тарифные ставки'!$B$15</f>
        <v>2511.3394373039996</v>
      </c>
      <c r="J97" s="398">
        <f t="shared" si="7"/>
        <v>410.268323916</v>
      </c>
    </row>
    <row r="98" spans="1:10" ht="15.75" hidden="1">
      <c r="A98" s="69"/>
      <c r="B98" s="26" t="s">
        <v>1755</v>
      </c>
      <c r="C98" s="245"/>
      <c r="D98" s="237" t="s">
        <v>2316</v>
      </c>
      <c r="E98" s="396">
        <v>78.97</v>
      </c>
      <c r="F98" s="513">
        <v>12.5</v>
      </c>
      <c r="G98" s="399">
        <f t="shared" si="8"/>
        <v>987.125</v>
      </c>
      <c r="H98" s="399">
        <f>G98*'Тарифные ставки'!$B$13</f>
        <v>2546.7825000000003</v>
      </c>
      <c r="I98" s="396">
        <f>H98*'Тарифные ставки'!$B$14*'Тарифные ставки'!$B$15</f>
        <v>3086.7003900000004</v>
      </c>
      <c r="J98" s="398">
        <f t="shared" si="7"/>
        <v>504.2629350000001</v>
      </c>
    </row>
    <row r="99" spans="1:10" ht="15.75" hidden="1">
      <c r="A99" s="71" t="s">
        <v>1765</v>
      </c>
      <c r="B99" s="11" t="s">
        <v>1766</v>
      </c>
      <c r="C99" s="244"/>
      <c r="D99" s="36"/>
      <c r="E99" s="400"/>
      <c r="F99" s="511"/>
      <c r="G99" s="400"/>
      <c r="H99" s="400"/>
      <c r="I99" s="400"/>
      <c r="J99" s="398">
        <f t="shared" si="7"/>
        <v>0</v>
      </c>
    </row>
    <row r="100" spans="1:10" ht="15.75" hidden="1">
      <c r="A100" s="67"/>
      <c r="B100" s="14" t="s">
        <v>1767</v>
      </c>
      <c r="C100" s="236" t="s">
        <v>1768</v>
      </c>
      <c r="D100" s="237" t="s">
        <v>2316</v>
      </c>
      <c r="E100" s="396">
        <v>78.97</v>
      </c>
      <c r="F100" s="512">
        <v>3.5</v>
      </c>
      <c r="G100" s="396">
        <f t="shared" si="8"/>
        <v>276.395</v>
      </c>
      <c r="H100" s="396">
        <f>G100*'Тарифные ставки'!$B$13</f>
        <v>713.0991</v>
      </c>
      <c r="I100" s="396">
        <f>H100*'Тарифные ставки'!$B$14*'Тарифные ставки'!$B$15</f>
        <v>864.2761092</v>
      </c>
      <c r="J100" s="398">
        <f t="shared" si="7"/>
        <v>141.19362180000002</v>
      </c>
    </row>
    <row r="101" spans="1:10" ht="15.75" hidden="1">
      <c r="A101" s="69"/>
      <c r="B101" s="26" t="s">
        <v>1769</v>
      </c>
      <c r="C101" s="245" t="s">
        <v>1764</v>
      </c>
      <c r="D101" s="237" t="s">
        <v>2316</v>
      </c>
      <c r="E101" s="396">
        <v>78.97</v>
      </c>
      <c r="F101" s="513">
        <v>4.7</v>
      </c>
      <c r="G101" s="399">
        <f t="shared" si="8"/>
        <v>371.159</v>
      </c>
      <c r="H101" s="399">
        <f>G101*'Тарифные ставки'!$B$13</f>
        <v>957.59022</v>
      </c>
      <c r="I101" s="396">
        <f>H101*'Тарифные ставки'!$B$14*'Тарифные ставки'!$B$15</f>
        <v>1160.59934664</v>
      </c>
      <c r="J101" s="398">
        <f t="shared" si="7"/>
        <v>189.60286356000003</v>
      </c>
    </row>
    <row r="102" spans="1:10" ht="31.5" hidden="1">
      <c r="A102" s="73" t="s">
        <v>1770</v>
      </c>
      <c r="B102" s="39" t="s">
        <v>1771</v>
      </c>
      <c r="C102" s="74" t="s">
        <v>1768</v>
      </c>
      <c r="D102" s="228" t="s">
        <v>2316</v>
      </c>
      <c r="E102" s="396">
        <v>78.97</v>
      </c>
      <c r="F102" s="510">
        <v>1.81</v>
      </c>
      <c r="G102" s="398">
        <f t="shared" si="8"/>
        <v>142.9357</v>
      </c>
      <c r="H102" s="398">
        <f>G102*'Тарифные ставки'!$B$13</f>
        <v>368.774106</v>
      </c>
      <c r="I102" s="398">
        <f>H102*'Тарифные ставки'!$B$14*'Тарифные ставки'!$B$15</f>
        <v>446.95421647200004</v>
      </c>
      <c r="J102" s="398">
        <f t="shared" si="7"/>
        <v>73.017272988</v>
      </c>
    </row>
    <row r="103" spans="1:10" ht="15.75" hidden="1">
      <c r="A103" s="73" t="s">
        <v>1772</v>
      </c>
      <c r="B103" s="39" t="s">
        <v>1773</v>
      </c>
      <c r="C103" s="74" t="s">
        <v>1768</v>
      </c>
      <c r="D103" s="234" t="s">
        <v>2316</v>
      </c>
      <c r="E103" s="396">
        <v>78.97</v>
      </c>
      <c r="F103" s="510">
        <v>1.89</v>
      </c>
      <c r="G103" s="398">
        <f>F103*E103</f>
        <v>149.2533</v>
      </c>
      <c r="H103" s="398">
        <f>G103*'Тарифные ставки'!$B$13</f>
        <v>385.073514</v>
      </c>
      <c r="I103" s="398">
        <f>H103*'Тарифные ставки'!$B$14*'Тарифные ставки'!$B$15</f>
        <v>466.7090989679999</v>
      </c>
      <c r="J103" s="398">
        <f t="shared" si="7"/>
        <v>76.24455577200001</v>
      </c>
    </row>
    <row r="104" spans="1:10" ht="31.5" hidden="1">
      <c r="A104" s="73" t="s">
        <v>1774</v>
      </c>
      <c r="B104" s="39" t="s">
        <v>1775</v>
      </c>
      <c r="C104" s="74" t="s">
        <v>1764</v>
      </c>
      <c r="D104" s="237" t="s">
        <v>2316</v>
      </c>
      <c r="E104" s="396">
        <v>78.97</v>
      </c>
      <c r="F104" s="510">
        <v>5.78</v>
      </c>
      <c r="G104" s="398">
        <f>F104*E104</f>
        <v>456.4466</v>
      </c>
      <c r="H104" s="398">
        <f>G104*'Тарифные ставки'!$B$13</f>
        <v>1177.632228</v>
      </c>
      <c r="I104" s="398">
        <f>H104*'Тарифные ставки'!$B$14*'Тарифные ставки'!$B$15</f>
        <v>1427.2902603359998</v>
      </c>
      <c r="J104" s="398">
        <f t="shared" si="7"/>
        <v>233.17118114399997</v>
      </c>
    </row>
    <row r="105" spans="1:10" ht="15.75" hidden="1">
      <c r="A105" s="73" t="s">
        <v>1776</v>
      </c>
      <c r="B105" s="39" t="s">
        <v>1773</v>
      </c>
      <c r="C105" s="74" t="s">
        <v>1764</v>
      </c>
      <c r="D105" s="234" t="s">
        <v>2316</v>
      </c>
      <c r="E105" s="396">
        <v>78.97</v>
      </c>
      <c r="F105" s="510">
        <v>6.25</v>
      </c>
      <c r="G105" s="398">
        <f>F105*E105</f>
        <v>493.5625</v>
      </c>
      <c r="H105" s="398">
        <f>G105*'Тарифные ставки'!$B$13</f>
        <v>1273.3912500000001</v>
      </c>
      <c r="I105" s="398">
        <f>H105*'Тарифные ставки'!$B$14*'Тарифные ставки'!$B$15</f>
        <v>1543.3501950000002</v>
      </c>
      <c r="J105" s="398">
        <f t="shared" si="7"/>
        <v>252.13146750000004</v>
      </c>
    </row>
    <row r="106" spans="1:10" ht="31.5" hidden="1">
      <c r="A106" s="73" t="s">
        <v>1777</v>
      </c>
      <c r="B106" s="39" t="s">
        <v>1778</v>
      </c>
      <c r="C106" s="74" t="s">
        <v>806</v>
      </c>
      <c r="D106" s="234" t="s">
        <v>2316</v>
      </c>
      <c r="E106" s="396">
        <v>78.97</v>
      </c>
      <c r="F106" s="516">
        <v>9.23</v>
      </c>
      <c r="G106" s="399">
        <f>F106*E106</f>
        <v>728.8931</v>
      </c>
      <c r="H106" s="398">
        <f>G106*'Тарифные ставки'!$B$13</f>
        <v>1880.544198</v>
      </c>
      <c r="I106" s="398">
        <f>H106*'Тарифные ставки'!$B$14*'Тарифные ставки'!$B$15</f>
        <v>2279.2195679760002</v>
      </c>
      <c r="J106" s="398">
        <f t="shared" si="7"/>
        <v>372.347751204</v>
      </c>
    </row>
    <row r="107" spans="1:10" ht="15.75" hidden="1">
      <c r="A107" s="73" t="s">
        <v>1779</v>
      </c>
      <c r="B107" s="39" t="s">
        <v>1773</v>
      </c>
      <c r="C107" s="74" t="s">
        <v>806</v>
      </c>
      <c r="D107" s="234" t="s">
        <v>2316</v>
      </c>
      <c r="E107" s="396">
        <v>78.97</v>
      </c>
      <c r="F107" s="516">
        <v>10</v>
      </c>
      <c r="G107" s="399">
        <f>F107*E107</f>
        <v>789.7</v>
      </c>
      <c r="H107" s="398">
        <f>G107*'Тарифные ставки'!$B$13</f>
        <v>2037.4260000000002</v>
      </c>
      <c r="I107" s="398">
        <f>H107*'Тарифные ставки'!$B$14*'Тарифные ставки'!$B$15</f>
        <v>2469.360312</v>
      </c>
      <c r="J107" s="398">
        <f t="shared" si="7"/>
        <v>403.41034800000006</v>
      </c>
    </row>
    <row r="108" spans="1:10" ht="15.75" hidden="1">
      <c r="A108" s="67" t="s">
        <v>1780</v>
      </c>
      <c r="B108" s="12" t="s">
        <v>1781</v>
      </c>
      <c r="C108" s="236" t="s">
        <v>806</v>
      </c>
      <c r="D108" s="36"/>
      <c r="E108" s="400"/>
      <c r="F108" s="512"/>
      <c r="G108" s="396"/>
      <c r="H108" s="396"/>
      <c r="I108" s="396"/>
      <c r="J108" s="398">
        <f t="shared" si="7"/>
        <v>0</v>
      </c>
    </row>
    <row r="109" spans="1:10" ht="15.75" hidden="1">
      <c r="A109" s="67"/>
      <c r="B109" s="14" t="s">
        <v>1782</v>
      </c>
      <c r="C109" s="236"/>
      <c r="D109" s="237" t="s">
        <v>2316</v>
      </c>
      <c r="E109" s="396">
        <v>78.97</v>
      </c>
      <c r="F109" s="512">
        <v>2.36</v>
      </c>
      <c r="G109" s="396">
        <f>F109*E109</f>
        <v>186.36919999999998</v>
      </c>
      <c r="H109" s="396">
        <f>G109*'Тарифные ставки'!$B$13</f>
        <v>480.83253599999995</v>
      </c>
      <c r="I109" s="396">
        <f>H109*'Тарифные ставки'!$B$14*'Тарифные ставки'!$B$15</f>
        <v>582.769033632</v>
      </c>
      <c r="J109" s="398">
        <f t="shared" si="7"/>
        <v>95.20484212800001</v>
      </c>
    </row>
    <row r="110" spans="1:10" ht="15.75" hidden="1">
      <c r="A110" s="67"/>
      <c r="B110" s="14" t="s">
        <v>1769</v>
      </c>
      <c r="C110" s="236"/>
      <c r="D110" s="237" t="s">
        <v>2316</v>
      </c>
      <c r="E110" s="396">
        <v>78.97</v>
      </c>
      <c r="F110" s="512">
        <v>4.06</v>
      </c>
      <c r="G110" s="396">
        <f>F110*E110</f>
        <v>320.61819999999994</v>
      </c>
      <c r="H110" s="396">
        <f>G110*'Тарифные ставки'!$B$13</f>
        <v>827.1949559999999</v>
      </c>
      <c r="I110" s="396">
        <f>H110*'Тарифные ставки'!$B$14*'Тарифные ставки'!$B$15</f>
        <v>1002.560286672</v>
      </c>
      <c r="J110" s="398">
        <f t="shared" si="7"/>
        <v>163.784601288</v>
      </c>
    </row>
    <row r="111" spans="1:10" ht="15.75" hidden="1">
      <c r="A111" s="69"/>
      <c r="B111" s="26" t="s">
        <v>1783</v>
      </c>
      <c r="C111" s="245"/>
      <c r="D111" s="233" t="s">
        <v>2316</v>
      </c>
      <c r="E111" s="396">
        <v>78.97</v>
      </c>
      <c r="F111" s="513">
        <v>3.43</v>
      </c>
      <c r="G111" s="399">
        <f>F111*E111</f>
        <v>270.8671</v>
      </c>
      <c r="H111" s="399">
        <f>G111*'Тарифные ставки'!$B$13</f>
        <v>698.837118</v>
      </c>
      <c r="I111" s="399">
        <f>H111*'Тарифные ставки'!$B$14*'Тарифные ставки'!$B$15</f>
        <v>846.9905870160001</v>
      </c>
      <c r="J111" s="398">
        <f t="shared" si="7"/>
        <v>138.369749364</v>
      </c>
    </row>
    <row r="112" spans="1:10" ht="15.75" hidden="1">
      <c r="A112" s="71" t="s">
        <v>1784</v>
      </c>
      <c r="B112" s="11" t="s">
        <v>1785</v>
      </c>
      <c r="C112" s="72" t="s">
        <v>804</v>
      </c>
      <c r="D112" s="237" t="s">
        <v>2316</v>
      </c>
      <c r="E112" s="396">
        <v>78.97</v>
      </c>
      <c r="F112" s="514">
        <v>1.5</v>
      </c>
      <c r="G112" s="400">
        <f aca="true" t="shared" si="9" ref="G112:G130">F112*E112</f>
        <v>118.455</v>
      </c>
      <c r="H112" s="400">
        <f>G112*'Тарифные ставки'!$B$13</f>
        <v>305.6139</v>
      </c>
      <c r="I112" s="396">
        <f>H112*'Тарифные ставки'!$B$14*'Тарифные ставки'!$B$15</f>
        <v>370.4040468</v>
      </c>
      <c r="J112" s="398">
        <f t="shared" si="7"/>
        <v>60.511552200000004</v>
      </c>
    </row>
    <row r="113" spans="1:10" ht="15.75" hidden="1">
      <c r="A113" s="67"/>
      <c r="B113" s="14" t="s">
        <v>1301</v>
      </c>
      <c r="C113" s="68"/>
      <c r="D113" s="237" t="s">
        <v>2316</v>
      </c>
      <c r="E113" s="396">
        <v>78.97</v>
      </c>
      <c r="F113" s="515">
        <v>1.73</v>
      </c>
      <c r="G113" s="396">
        <f t="shared" si="9"/>
        <v>136.6181</v>
      </c>
      <c r="H113" s="396">
        <f>G113*'Тарифные ставки'!$B$13</f>
        <v>352.474698</v>
      </c>
      <c r="I113" s="396">
        <f>H113*'Тарифные ставки'!$B$14*'Тарифные ставки'!$B$15</f>
        <v>427.19933397599993</v>
      </c>
      <c r="J113" s="398">
        <f t="shared" si="7"/>
        <v>69.789990204</v>
      </c>
    </row>
    <row r="114" spans="1:10" ht="15.75" hidden="1">
      <c r="A114" s="69"/>
      <c r="B114" s="26" t="s">
        <v>1242</v>
      </c>
      <c r="C114" s="70"/>
      <c r="D114" s="237" t="s">
        <v>2316</v>
      </c>
      <c r="E114" s="396">
        <v>78.97</v>
      </c>
      <c r="F114" s="516">
        <v>2.28</v>
      </c>
      <c r="G114" s="399">
        <f t="shared" si="9"/>
        <v>180.05159999999998</v>
      </c>
      <c r="H114" s="399">
        <f>G114*'Тарифные ставки'!$B$13</f>
        <v>464.533128</v>
      </c>
      <c r="I114" s="396">
        <f>H114*'Тарифные ставки'!$B$14*'Тарифные ставки'!$B$15</f>
        <v>563.0141511359999</v>
      </c>
      <c r="J114" s="398">
        <f t="shared" si="7"/>
        <v>91.977559344</v>
      </c>
    </row>
    <row r="115" spans="1:10" ht="15.75" hidden="1">
      <c r="A115" s="71" t="s">
        <v>1786</v>
      </c>
      <c r="B115" s="11" t="s">
        <v>1787</v>
      </c>
      <c r="C115" s="244" t="s">
        <v>804</v>
      </c>
      <c r="D115" s="228" t="s">
        <v>2316</v>
      </c>
      <c r="E115" s="396">
        <v>78.97</v>
      </c>
      <c r="F115" s="511">
        <v>3.76</v>
      </c>
      <c r="G115" s="400">
        <f t="shared" si="9"/>
        <v>296.92719999999997</v>
      </c>
      <c r="H115" s="400">
        <f>G115*'Тарифные ставки'!$B$13</f>
        <v>766.0721759999999</v>
      </c>
      <c r="I115" s="400">
        <f>H115*'Тарифные ставки'!$B$14*'Тарифные ставки'!$B$15</f>
        <v>928.4794773119999</v>
      </c>
      <c r="J115" s="398">
        <f t="shared" si="7"/>
        <v>151.68229084799998</v>
      </c>
    </row>
    <row r="116" spans="1:10" ht="15.75" hidden="1">
      <c r="A116" s="67"/>
      <c r="B116" s="14" t="s">
        <v>1301</v>
      </c>
      <c r="C116" s="236"/>
      <c r="D116" s="237" t="s">
        <v>2316</v>
      </c>
      <c r="E116" s="396">
        <v>78.97</v>
      </c>
      <c r="F116" s="512">
        <v>4.33</v>
      </c>
      <c r="G116" s="396">
        <f t="shared" si="9"/>
        <v>341.9401</v>
      </c>
      <c r="H116" s="396">
        <f>G116*'Тарифные ставки'!$B$13</f>
        <v>882.2054579999999</v>
      </c>
      <c r="I116" s="396">
        <f>H116*'Тарифные ставки'!$B$14*'Тарифные ставки'!$B$15</f>
        <v>1069.233015096</v>
      </c>
      <c r="J116" s="398">
        <f t="shared" si="7"/>
        <v>174.676680684</v>
      </c>
    </row>
    <row r="117" spans="1:10" ht="15.75" hidden="1">
      <c r="A117" s="67"/>
      <c r="B117" s="14" t="s">
        <v>1242</v>
      </c>
      <c r="C117" s="236"/>
      <c r="D117" s="237" t="s">
        <v>2316</v>
      </c>
      <c r="E117" s="396">
        <v>78.97</v>
      </c>
      <c r="F117" s="512">
        <v>5.71</v>
      </c>
      <c r="G117" s="396">
        <f>F117*E117</f>
        <v>450.9187</v>
      </c>
      <c r="H117" s="396">
        <f>G117*'Тарифные ставки'!$B$13</f>
        <v>1163.370246</v>
      </c>
      <c r="I117" s="396">
        <f>H117*'Тарифные ставки'!$B$14*'Тарифные ставки'!$B$15</f>
        <v>1410.0047381519998</v>
      </c>
      <c r="J117" s="398">
        <f t="shared" si="7"/>
        <v>230.347308708</v>
      </c>
    </row>
    <row r="118" spans="1:10" ht="15.75" hidden="1">
      <c r="A118" s="69"/>
      <c r="B118" s="26" t="s">
        <v>1243</v>
      </c>
      <c r="C118" s="245"/>
      <c r="D118" s="233" t="s">
        <v>2316</v>
      </c>
      <c r="E118" s="396">
        <v>78.97</v>
      </c>
      <c r="F118" s="513">
        <v>6</v>
      </c>
      <c r="G118" s="399">
        <f t="shared" si="9"/>
        <v>473.82</v>
      </c>
      <c r="H118" s="399">
        <f>G118*'Тарифные ставки'!$B$13</f>
        <v>1222.4556</v>
      </c>
      <c r="I118" s="399">
        <f>H118*'Тарифные ставки'!$B$14*'Тарифные ставки'!$B$15</f>
        <v>1481.6161872</v>
      </c>
      <c r="J118" s="398">
        <f t="shared" si="7"/>
        <v>242.04620880000002</v>
      </c>
    </row>
    <row r="119" spans="1:10" ht="15.75" hidden="1">
      <c r="A119" s="71" t="s">
        <v>1788</v>
      </c>
      <c r="B119" s="11" t="s">
        <v>1789</v>
      </c>
      <c r="C119" s="72" t="s">
        <v>1790</v>
      </c>
      <c r="D119" s="36"/>
      <c r="E119" s="400"/>
      <c r="F119" s="514"/>
      <c r="G119" s="400"/>
      <c r="H119" s="400"/>
      <c r="I119" s="400"/>
      <c r="J119" s="398">
        <f t="shared" si="7"/>
        <v>0</v>
      </c>
    </row>
    <row r="120" spans="1:10" ht="15.75" hidden="1">
      <c r="A120" s="67"/>
      <c r="B120" s="14" t="s">
        <v>1791</v>
      </c>
      <c r="C120" s="68" t="s">
        <v>1792</v>
      </c>
      <c r="D120" s="237" t="s">
        <v>2316</v>
      </c>
      <c r="E120" s="396">
        <v>78.97</v>
      </c>
      <c r="F120" s="515">
        <v>0.82</v>
      </c>
      <c r="G120" s="396">
        <f t="shared" si="9"/>
        <v>64.7554</v>
      </c>
      <c r="H120" s="396">
        <f>G120*'Тарифные ставки'!$B$13</f>
        <v>167.068932</v>
      </c>
      <c r="I120" s="396">
        <f>H120*'Тарифные ставки'!$B$14*'Тарифные ставки'!$B$15</f>
        <v>202.487545584</v>
      </c>
      <c r="J120" s="398">
        <f t="shared" si="7"/>
        <v>33.079648536</v>
      </c>
    </row>
    <row r="121" spans="1:10" ht="15.75" hidden="1">
      <c r="A121" s="67"/>
      <c r="B121" s="14" t="s">
        <v>1793</v>
      </c>
      <c r="C121" s="68"/>
      <c r="D121" s="237" t="s">
        <v>2316</v>
      </c>
      <c r="E121" s="396">
        <v>78.97</v>
      </c>
      <c r="F121" s="515">
        <v>1.11</v>
      </c>
      <c r="G121" s="396">
        <f t="shared" si="9"/>
        <v>87.6567</v>
      </c>
      <c r="H121" s="396">
        <f>G121*'Тарифные ставки'!$B$13</f>
        <v>226.154286</v>
      </c>
      <c r="I121" s="396">
        <f>H121*'Тарифные ставки'!$B$14*'Тарифные ставки'!$B$15</f>
        <v>274.098994632</v>
      </c>
      <c r="J121" s="400">
        <f t="shared" si="7"/>
        <v>44.778548628</v>
      </c>
    </row>
    <row r="122" spans="1:12" ht="31.5">
      <c r="A122" s="71" t="s">
        <v>1794</v>
      </c>
      <c r="B122" s="11" t="s">
        <v>1795</v>
      </c>
      <c r="C122" s="72" t="s">
        <v>194</v>
      </c>
      <c r="D122" s="228" t="s">
        <v>2316</v>
      </c>
      <c r="E122" s="400">
        <f>'Тарифные ставки'!$B$5</f>
        <v>137.4825</v>
      </c>
      <c r="F122" s="514">
        <v>2.51</v>
      </c>
      <c r="G122" s="400">
        <f t="shared" si="9"/>
        <v>345.08107499999994</v>
      </c>
      <c r="H122" s="400">
        <f>G122*'Тарифные ставки'!$B$13</f>
        <v>890.3091734999999</v>
      </c>
      <c r="I122" s="400">
        <f>H122*'Тарифные ставки'!$B$14*'Тарифные ставки'!$B$15</f>
        <v>1079.0547182819998</v>
      </c>
      <c r="J122" s="400">
        <f>I122-I122/'Тарифные ставки'!$B$15</f>
        <v>179.84245304699994</v>
      </c>
      <c r="K122" s="450">
        <v>1008.665054625</v>
      </c>
      <c r="L122" s="450">
        <f aca="true" t="shared" si="10" ref="L122:L152">I122/K122*100-100</f>
        <v>6.978497305348725</v>
      </c>
    </row>
    <row r="123" spans="1:12" ht="15.75">
      <c r="A123" s="69" t="s">
        <v>1739</v>
      </c>
      <c r="B123" s="26" t="s">
        <v>1796</v>
      </c>
      <c r="C123" s="70"/>
      <c r="D123" s="233" t="s">
        <v>2316</v>
      </c>
      <c r="E123" s="399">
        <f>'Тарифные ставки'!$B$5</f>
        <v>137.4825</v>
      </c>
      <c r="F123" s="516">
        <v>3.25</v>
      </c>
      <c r="G123" s="399">
        <f t="shared" si="9"/>
        <v>446.81812499999995</v>
      </c>
      <c r="H123" s="399">
        <f>G123*'Тарифные ставки'!$B$13</f>
        <v>1152.7907624999998</v>
      </c>
      <c r="I123" s="399">
        <f>H123*'Тарифные ставки'!$B$14*'Тарифные ставки'!$B$15</f>
        <v>1397.1824041499997</v>
      </c>
      <c r="J123" s="399">
        <f>I123-I123/'Тарифные ставки'!$B$15</f>
        <v>232.86373402499999</v>
      </c>
      <c r="K123" s="490">
        <v>1306.0404093749999</v>
      </c>
      <c r="L123" s="490">
        <f t="shared" si="10"/>
        <v>6.978497305348725</v>
      </c>
    </row>
    <row r="124" spans="1:12" ht="15.75">
      <c r="A124" s="71" t="s">
        <v>1797</v>
      </c>
      <c r="B124" s="11" t="s">
        <v>1798</v>
      </c>
      <c r="C124" s="72" t="s">
        <v>194</v>
      </c>
      <c r="D124" s="228" t="s">
        <v>2316</v>
      </c>
      <c r="E124" s="400">
        <f>'Тарифные ставки'!$B$5</f>
        <v>137.4825</v>
      </c>
      <c r="F124" s="514">
        <v>1.67</v>
      </c>
      <c r="G124" s="400">
        <f t="shared" si="9"/>
        <v>229.59577499999997</v>
      </c>
      <c r="H124" s="400">
        <f>G124*'Тарифные ставки'!$B$13</f>
        <v>592.3570995</v>
      </c>
      <c r="I124" s="400">
        <f>H124*'Тарифные ставки'!$B$14*'Тарифные ставки'!$B$15</f>
        <v>717.9368045939999</v>
      </c>
      <c r="J124" s="400">
        <f>I124-I124/'Тарифные ставки'!$B$15</f>
        <v>119.65613409899993</v>
      </c>
      <c r="K124" s="450">
        <v>671.103841125</v>
      </c>
      <c r="L124" s="450">
        <f t="shared" si="10"/>
        <v>6.978497305348725</v>
      </c>
    </row>
    <row r="125" spans="1:12" ht="15.75">
      <c r="A125" s="69" t="s">
        <v>1739</v>
      </c>
      <c r="B125" s="26" t="s">
        <v>1769</v>
      </c>
      <c r="C125" s="70"/>
      <c r="D125" s="233" t="s">
        <v>2316</v>
      </c>
      <c r="E125" s="399">
        <f>'Тарифные ставки'!$B$5</f>
        <v>137.4825</v>
      </c>
      <c r="F125" s="516">
        <v>3.51</v>
      </c>
      <c r="G125" s="399">
        <f t="shared" si="9"/>
        <v>482.5635749999999</v>
      </c>
      <c r="H125" s="399">
        <f>G125*'Тарифные ставки'!$B$13</f>
        <v>1245.0140234999997</v>
      </c>
      <c r="I125" s="399">
        <f>H125*'Тарифные ставки'!$B$14*'Тарифные ставки'!$B$15</f>
        <v>1508.9569964819996</v>
      </c>
      <c r="J125" s="399">
        <f>I125-I125/'Тарифные ставки'!$B$15</f>
        <v>251.49283274699997</v>
      </c>
      <c r="K125" s="490">
        <v>1410.523642125</v>
      </c>
      <c r="L125" s="490">
        <f t="shared" si="10"/>
        <v>6.978497305348725</v>
      </c>
    </row>
    <row r="126" spans="1:12" ht="15.75">
      <c r="A126" s="71" t="s">
        <v>1799</v>
      </c>
      <c r="B126" s="11" t="s">
        <v>1800</v>
      </c>
      <c r="C126" s="72" t="s">
        <v>194</v>
      </c>
      <c r="D126" s="228" t="s">
        <v>2316</v>
      </c>
      <c r="E126" s="400">
        <f>'Тарифные ставки'!$B$5</f>
        <v>137.4825</v>
      </c>
      <c r="F126" s="514">
        <v>2.09</v>
      </c>
      <c r="G126" s="400">
        <f t="shared" si="9"/>
        <v>287.338425</v>
      </c>
      <c r="H126" s="400">
        <f>G126*'Тарифные ставки'!$B$13</f>
        <v>741.3331364999999</v>
      </c>
      <c r="I126" s="400">
        <f>H126*'Тарифные ставки'!$B$14*'Тарифные ставки'!$B$15</f>
        <v>898.4957614379998</v>
      </c>
      <c r="J126" s="400">
        <f>I126-I126/'Тарифные ставки'!$B$15</f>
        <v>149.74929357299993</v>
      </c>
      <c r="K126" s="450">
        <v>839.8844478749999</v>
      </c>
      <c r="L126" s="450">
        <f t="shared" si="10"/>
        <v>6.978497305348739</v>
      </c>
    </row>
    <row r="127" spans="1:12" ht="15.75">
      <c r="A127" s="69" t="s">
        <v>1739</v>
      </c>
      <c r="B127" s="26" t="s">
        <v>1769</v>
      </c>
      <c r="C127" s="70"/>
      <c r="D127" s="233" t="s">
        <v>2316</v>
      </c>
      <c r="E127" s="399">
        <f>'Тарифные ставки'!$B$5</f>
        <v>137.4825</v>
      </c>
      <c r="F127" s="516">
        <v>5.43</v>
      </c>
      <c r="G127" s="399">
        <f t="shared" si="9"/>
        <v>746.5299749999999</v>
      </c>
      <c r="H127" s="399">
        <f>G127*'Тарифные ставки'!$B$13</f>
        <v>1926.0473355</v>
      </c>
      <c r="I127" s="399">
        <f>H127*'Тарифные ставки'!$B$14*'Тарифные ставки'!$B$15</f>
        <v>2334.3693706259996</v>
      </c>
      <c r="J127" s="399">
        <f>I127-I127/'Тарифные ставки'!$B$15</f>
        <v>389.0615617709998</v>
      </c>
      <c r="K127" s="490">
        <v>2182.092130125</v>
      </c>
      <c r="L127" s="490">
        <f t="shared" si="10"/>
        <v>6.978497305348725</v>
      </c>
    </row>
    <row r="128" spans="1:12" ht="15.75">
      <c r="A128" s="73" t="s">
        <v>1801</v>
      </c>
      <c r="B128" s="39" t="s">
        <v>2181</v>
      </c>
      <c r="C128" s="74" t="s">
        <v>194</v>
      </c>
      <c r="D128" s="234" t="s">
        <v>2316</v>
      </c>
      <c r="E128" s="398">
        <f>'Тарифные ставки'!$B$5</f>
        <v>137.4825</v>
      </c>
      <c r="F128" s="510">
        <v>0.24</v>
      </c>
      <c r="G128" s="398">
        <f t="shared" si="9"/>
        <v>32.995799999999996</v>
      </c>
      <c r="H128" s="398">
        <f>G128*'Тарифные ставки'!$B$13</f>
        <v>85.12916399999999</v>
      </c>
      <c r="I128" s="398">
        <f>H128*'Тарифные ставки'!$B$14*'Тарифные ставки'!$B$15</f>
        <v>103.17654676799998</v>
      </c>
      <c r="J128" s="398">
        <f>I128-I128/'Тарифные ставки'!$B$15</f>
        <v>17.196091127999992</v>
      </c>
      <c r="K128" s="491">
        <v>96.446061</v>
      </c>
      <c r="L128" s="491">
        <f t="shared" si="10"/>
        <v>6.978497305348725</v>
      </c>
    </row>
    <row r="129" spans="1:12" ht="15.75">
      <c r="A129" s="73" t="s">
        <v>2182</v>
      </c>
      <c r="B129" s="39" t="s">
        <v>2183</v>
      </c>
      <c r="C129" s="74" t="s">
        <v>804</v>
      </c>
      <c r="D129" s="234" t="s">
        <v>2316</v>
      </c>
      <c r="E129" s="398">
        <f>'Тарифные ставки'!$B$5</f>
        <v>137.4825</v>
      </c>
      <c r="F129" s="510">
        <v>0.48</v>
      </c>
      <c r="G129" s="398">
        <f t="shared" si="9"/>
        <v>65.99159999999999</v>
      </c>
      <c r="H129" s="398">
        <f>G129*'Тарифные ставки'!$B$13</f>
        <v>170.25832799999998</v>
      </c>
      <c r="I129" s="398">
        <f>H129*'Тарифные ставки'!$B$14*'Тарифные ставки'!$B$15</f>
        <v>206.35309353599996</v>
      </c>
      <c r="J129" s="398">
        <f>I129-I129/'Тарифные ставки'!$B$15</f>
        <v>34.392182255999984</v>
      </c>
      <c r="K129" s="491">
        <v>192.892122</v>
      </c>
      <c r="L129" s="491">
        <f t="shared" si="10"/>
        <v>6.978497305348725</v>
      </c>
    </row>
    <row r="130" spans="1:12" ht="31.5">
      <c r="A130" s="73" t="s">
        <v>2184</v>
      </c>
      <c r="B130" s="39" t="s">
        <v>2185</v>
      </c>
      <c r="C130" s="74" t="s">
        <v>1764</v>
      </c>
      <c r="D130" s="234" t="s">
        <v>2316</v>
      </c>
      <c r="E130" s="398">
        <f>'Тарифные ставки'!$B$5</f>
        <v>137.4825</v>
      </c>
      <c r="F130" s="510">
        <v>2.16</v>
      </c>
      <c r="G130" s="398">
        <f t="shared" si="9"/>
        <v>296.9622</v>
      </c>
      <c r="H130" s="398">
        <f>G130*'Тарифные ставки'!$B$13</f>
        <v>766.162476</v>
      </c>
      <c r="I130" s="398">
        <f>H130*'Тарифные ставки'!$B$14*'Тарифные ставки'!$B$15</f>
        <v>928.5889209119999</v>
      </c>
      <c r="J130" s="398">
        <f>I130-I130/'Тарифные ставки'!$B$15</f>
        <v>154.76482015199997</v>
      </c>
      <c r="K130" s="491">
        <v>868.0145490000001</v>
      </c>
      <c r="L130" s="491">
        <f t="shared" si="10"/>
        <v>6.978497305348725</v>
      </c>
    </row>
    <row r="131" spans="1:12" ht="15.75">
      <c r="A131" s="73" t="s">
        <v>2186</v>
      </c>
      <c r="B131" s="39" t="s">
        <v>2188</v>
      </c>
      <c r="C131" s="74" t="s">
        <v>725</v>
      </c>
      <c r="D131" s="234" t="s">
        <v>2316</v>
      </c>
      <c r="E131" s="398">
        <f>'Тарифные ставки'!$B$5</f>
        <v>137.4825</v>
      </c>
      <c r="F131" s="510">
        <v>0.36</v>
      </c>
      <c r="G131" s="398">
        <f>F131*E131</f>
        <v>49.4937</v>
      </c>
      <c r="H131" s="398">
        <f>G131*'Тарифные ставки'!$B$13</f>
        <v>127.69374599999999</v>
      </c>
      <c r="I131" s="398">
        <f>H131*'Тарифные ставки'!$B$14*'Тарифные ставки'!$B$15</f>
        <v>154.764820152</v>
      </c>
      <c r="J131" s="398">
        <f>I131-I131/'Тарифные ставки'!$B$15</f>
        <v>25.794136691999995</v>
      </c>
      <c r="K131" s="491">
        <v>144.66909149999998</v>
      </c>
      <c r="L131" s="491">
        <f t="shared" si="10"/>
        <v>6.9784973053487676</v>
      </c>
    </row>
    <row r="132" spans="1:12" ht="31.5">
      <c r="A132" s="73" t="s">
        <v>2189</v>
      </c>
      <c r="B132" s="39" t="s">
        <v>2190</v>
      </c>
      <c r="C132" s="74" t="s">
        <v>2191</v>
      </c>
      <c r="D132" s="234" t="s">
        <v>2316</v>
      </c>
      <c r="E132" s="398">
        <f>'Тарифные ставки'!$B$5</f>
        <v>137.4825</v>
      </c>
      <c r="F132" s="510">
        <v>1.44</v>
      </c>
      <c r="G132" s="398">
        <f>F132*E132</f>
        <v>197.9748</v>
      </c>
      <c r="H132" s="398">
        <f>G132*'Тарифные ставки'!$B$13</f>
        <v>510.77498399999996</v>
      </c>
      <c r="I132" s="398">
        <f>H132*'Тарифные ставки'!$B$14*'Тарифные ставки'!$B$15</f>
        <v>619.059280608</v>
      </c>
      <c r="J132" s="398">
        <f>I132-I132/'Тарифные ставки'!$B$15</f>
        <v>103.17654676799998</v>
      </c>
      <c r="K132" s="491">
        <v>578.6763659999999</v>
      </c>
      <c r="L132" s="491">
        <f t="shared" si="10"/>
        <v>6.9784973053487676</v>
      </c>
    </row>
    <row r="133" spans="1:10" ht="70.5" customHeight="1" hidden="1">
      <c r="A133" s="312" t="s">
        <v>83</v>
      </c>
      <c r="B133" s="313" t="s">
        <v>82</v>
      </c>
      <c r="C133" s="313" t="s">
        <v>77</v>
      </c>
      <c r="D133" s="313" t="s">
        <v>81</v>
      </c>
      <c r="E133" s="393" t="s">
        <v>85</v>
      </c>
      <c r="F133" s="393" t="s">
        <v>78</v>
      </c>
      <c r="G133" s="393" t="s">
        <v>79</v>
      </c>
      <c r="H133" s="393" t="s">
        <v>80</v>
      </c>
      <c r="I133" s="394" t="s">
        <v>843</v>
      </c>
      <c r="J133" s="394" t="s">
        <v>2349</v>
      </c>
    </row>
    <row r="134" spans="1:12" ht="15.75">
      <c r="A134" s="73" t="s">
        <v>2192</v>
      </c>
      <c r="B134" s="39" t="s">
        <v>2193</v>
      </c>
      <c r="C134" s="74" t="s">
        <v>2194</v>
      </c>
      <c r="D134" s="234" t="s">
        <v>2316</v>
      </c>
      <c r="E134" s="398">
        <f>'Тарифные ставки'!$B$5</f>
        <v>137.4825</v>
      </c>
      <c r="F134" s="510">
        <v>1.44</v>
      </c>
      <c r="G134" s="398">
        <f>F134*E134</f>
        <v>197.9748</v>
      </c>
      <c r="H134" s="398">
        <f>G134*'Тарифные ставки'!$B$13</f>
        <v>510.77498399999996</v>
      </c>
      <c r="I134" s="398">
        <f>H134*'Тарифные ставки'!$B$14*'Тарифные ставки'!$B$15</f>
        <v>619.059280608</v>
      </c>
      <c r="J134" s="398">
        <f>I134-I134/'Тарифные ставки'!$B$15</f>
        <v>103.17654676799998</v>
      </c>
      <c r="K134" s="491">
        <v>578.6763659999999</v>
      </c>
      <c r="L134" s="491">
        <f t="shared" si="10"/>
        <v>6.9784973053487676</v>
      </c>
    </row>
    <row r="135" spans="1:12" ht="31.5">
      <c r="A135" s="73" t="s">
        <v>2195</v>
      </c>
      <c r="B135" s="39" t="s">
        <v>2196</v>
      </c>
      <c r="C135" s="74" t="s">
        <v>806</v>
      </c>
      <c r="D135" s="234" t="s">
        <v>2316</v>
      </c>
      <c r="E135" s="398">
        <f>'Тарифные ставки'!$B$5</f>
        <v>137.4825</v>
      </c>
      <c r="F135" s="510">
        <v>2.82</v>
      </c>
      <c r="G135" s="398">
        <f>F135*E135</f>
        <v>387.70064999999994</v>
      </c>
      <c r="H135" s="398">
        <f>G135*'Тарифные ставки'!$B$13</f>
        <v>1000.2676769999998</v>
      </c>
      <c r="I135" s="398">
        <f>H135*'Тарифные ставки'!$B$14*'Тарифные ставки'!$B$15</f>
        <v>1212.3244245239998</v>
      </c>
      <c r="J135" s="398">
        <f>I135-I135/'Тарифные ставки'!$B$15</f>
        <v>202.0540707539999</v>
      </c>
      <c r="K135" s="491">
        <v>1133.24121675</v>
      </c>
      <c r="L135" s="491">
        <f t="shared" si="10"/>
        <v>6.978497305348725</v>
      </c>
    </row>
    <row r="136" spans="1:12" ht="31.5">
      <c r="A136" s="73" t="s">
        <v>2197</v>
      </c>
      <c r="B136" s="39" t="s">
        <v>2198</v>
      </c>
      <c r="C136" s="74" t="s">
        <v>806</v>
      </c>
      <c r="D136" s="234" t="s">
        <v>2316</v>
      </c>
      <c r="E136" s="398">
        <f>'Тарифные ставки'!$B$5</f>
        <v>137.4825</v>
      </c>
      <c r="F136" s="510">
        <v>4.43</v>
      </c>
      <c r="G136" s="398">
        <f aca="true" t="shared" si="11" ref="G136:G154">F136*E136</f>
        <v>609.0474749999998</v>
      </c>
      <c r="H136" s="398">
        <f>G136*'Тарифные ставки'!$B$13</f>
        <v>1571.3424854999996</v>
      </c>
      <c r="I136" s="398">
        <f>H136*'Тарифные ставки'!$B$14*'Тарифные ставки'!$B$15</f>
        <v>1904.4670924259995</v>
      </c>
      <c r="J136" s="398">
        <f>I136-I136/'Тарифные ставки'!$B$15</f>
        <v>317.41118207099976</v>
      </c>
      <c r="K136" s="491">
        <v>1780.233542625</v>
      </c>
      <c r="L136" s="491">
        <f t="shared" si="10"/>
        <v>6.978497305348725</v>
      </c>
    </row>
    <row r="137" spans="1:12" ht="15.75">
      <c r="A137" s="73" t="s">
        <v>2199</v>
      </c>
      <c r="B137" s="39" t="s">
        <v>2200</v>
      </c>
      <c r="C137" s="74" t="s">
        <v>806</v>
      </c>
      <c r="D137" s="234" t="s">
        <v>2316</v>
      </c>
      <c r="E137" s="398">
        <f>'Тарифные ставки'!$B$5</f>
        <v>137.4825</v>
      </c>
      <c r="F137" s="510">
        <v>1.5</v>
      </c>
      <c r="G137" s="398">
        <f t="shared" si="11"/>
        <v>206.22375</v>
      </c>
      <c r="H137" s="398">
        <f>G137*'Тарифные ставки'!$B$13</f>
        <v>532.057275</v>
      </c>
      <c r="I137" s="398">
        <f>H137*'Тарифные ставки'!$B$14*'Тарифные ставки'!$B$15</f>
        <v>644.8534172999999</v>
      </c>
      <c r="J137" s="398">
        <f>I137-I137/'Тарифные ставки'!$B$15</f>
        <v>107.47556954999993</v>
      </c>
      <c r="K137" s="491">
        <v>602.78788125</v>
      </c>
      <c r="L137" s="491">
        <f t="shared" si="10"/>
        <v>6.978497305348725</v>
      </c>
    </row>
    <row r="138" spans="1:12" ht="15.75">
      <c r="A138" s="73" t="s">
        <v>2201</v>
      </c>
      <c r="B138" s="39" t="s">
        <v>2202</v>
      </c>
      <c r="C138" s="74" t="s">
        <v>806</v>
      </c>
      <c r="D138" s="234" t="s">
        <v>2316</v>
      </c>
      <c r="E138" s="398">
        <f>'Тарифные ставки'!$B$5</f>
        <v>137.4825</v>
      </c>
      <c r="F138" s="510">
        <v>2.2</v>
      </c>
      <c r="G138" s="398">
        <f t="shared" si="11"/>
        <v>302.4615</v>
      </c>
      <c r="H138" s="398">
        <f>G138*'Тарифные ставки'!$B$13</f>
        <v>780.35067</v>
      </c>
      <c r="I138" s="398">
        <f>H138*'Тарифные ставки'!$B$14*'Тарифные ставки'!$B$15</f>
        <v>945.78501204</v>
      </c>
      <c r="J138" s="398">
        <f>I138-I138/'Тарифные ставки'!$B$15</f>
        <v>157.63083533999998</v>
      </c>
      <c r="K138" s="491">
        <v>884.0888925000002</v>
      </c>
      <c r="L138" s="491">
        <f t="shared" si="10"/>
        <v>6.978497305348725</v>
      </c>
    </row>
    <row r="139" spans="1:12" ht="31.5">
      <c r="A139" s="73" t="s">
        <v>2203</v>
      </c>
      <c r="B139" s="39" t="s">
        <v>54</v>
      </c>
      <c r="C139" s="74" t="s">
        <v>194</v>
      </c>
      <c r="D139" s="234" t="s">
        <v>2316</v>
      </c>
      <c r="E139" s="398">
        <f>'Тарифные ставки'!$B$5</f>
        <v>137.4825</v>
      </c>
      <c r="F139" s="510">
        <v>2.88</v>
      </c>
      <c r="G139" s="398">
        <f t="shared" si="11"/>
        <v>395.9496</v>
      </c>
      <c r="H139" s="398">
        <f>G139*'Тарифные ставки'!$B$13</f>
        <v>1021.5499679999999</v>
      </c>
      <c r="I139" s="398">
        <f>H139*'Тарифные ставки'!$B$14*'Тарифные ставки'!$B$15</f>
        <v>1238.118561216</v>
      </c>
      <c r="J139" s="398">
        <f>I139-I139/'Тарифные ставки'!$B$15</f>
        <v>206.35309353599996</v>
      </c>
      <c r="K139" s="491">
        <v>1157.3527319999998</v>
      </c>
      <c r="L139" s="491">
        <f t="shared" si="10"/>
        <v>6.9784973053487676</v>
      </c>
    </row>
    <row r="140" spans="1:12" ht="31.5">
      <c r="A140" s="73" t="s">
        <v>55</v>
      </c>
      <c r="B140" s="39" t="s">
        <v>56</v>
      </c>
      <c r="C140" s="74" t="s">
        <v>194</v>
      </c>
      <c r="D140" s="234" t="s">
        <v>2316</v>
      </c>
      <c r="E140" s="398">
        <f>'Тарифные ставки'!$B$5</f>
        <v>137.4825</v>
      </c>
      <c r="F140" s="510">
        <v>4</v>
      </c>
      <c r="G140" s="398">
        <f t="shared" si="11"/>
        <v>549.93</v>
      </c>
      <c r="H140" s="398">
        <f>G140*'Тарифные ставки'!$B$13</f>
        <v>1418.8193999999999</v>
      </c>
      <c r="I140" s="398">
        <f>H140*'Тарифные ставки'!$B$14*'Тарифные ставки'!$B$15</f>
        <v>1719.6091127999998</v>
      </c>
      <c r="J140" s="398">
        <f>I140-I140/'Тарифные ставки'!$B$15</f>
        <v>286.6015187999999</v>
      </c>
      <c r="K140" s="491">
        <v>1607.43435</v>
      </c>
      <c r="L140" s="491">
        <f t="shared" si="10"/>
        <v>6.978497305348725</v>
      </c>
    </row>
    <row r="141" spans="1:12" ht="15.75" hidden="1">
      <c r="A141" s="67" t="s">
        <v>57</v>
      </c>
      <c r="B141" s="634" t="s">
        <v>58</v>
      </c>
      <c r="C141" s="68" t="s">
        <v>799</v>
      </c>
      <c r="D141" s="237" t="s">
        <v>2316</v>
      </c>
      <c r="E141" s="396">
        <v>78.97</v>
      </c>
      <c r="F141" s="515">
        <v>0.45</v>
      </c>
      <c r="G141" s="396">
        <f t="shared" si="11"/>
        <v>35.536500000000004</v>
      </c>
      <c r="H141" s="396">
        <f>(G141+G142)*'Тарифные ставки'!$B$13</f>
        <v>190.39239</v>
      </c>
      <c r="I141" s="396">
        <f>H141*'Тарифные ставки'!$B$14*'Тарифные ставки'!$B$15</f>
        <v>230.75557668</v>
      </c>
      <c r="J141" s="396"/>
      <c r="K141" s="457">
        <v>375.526850625</v>
      </c>
      <c r="L141" s="457">
        <f t="shared" si="10"/>
        <v>-38.5515106853353</v>
      </c>
    </row>
    <row r="142" spans="1:12" ht="15.75" hidden="1">
      <c r="A142" s="69"/>
      <c r="B142" s="609"/>
      <c r="C142" s="70"/>
      <c r="D142" s="233" t="s">
        <v>47</v>
      </c>
      <c r="E142" s="399">
        <v>85.02</v>
      </c>
      <c r="F142" s="516">
        <v>0.45</v>
      </c>
      <c r="G142" s="399">
        <f t="shared" si="11"/>
        <v>38.259</v>
      </c>
      <c r="H142" s="399"/>
      <c r="I142" s="399"/>
      <c r="J142" s="399"/>
      <c r="K142" s="457"/>
      <c r="L142" s="457" t="e">
        <f t="shared" si="10"/>
        <v>#DIV/0!</v>
      </c>
    </row>
    <row r="143" spans="1:12" ht="15.75" hidden="1">
      <c r="A143" s="71" t="s">
        <v>59</v>
      </c>
      <c r="B143" s="608" t="s">
        <v>60</v>
      </c>
      <c r="C143" s="72" t="s">
        <v>799</v>
      </c>
      <c r="D143" s="228" t="s">
        <v>2316</v>
      </c>
      <c r="E143" s="396">
        <v>78.97</v>
      </c>
      <c r="F143" s="514">
        <v>0.72</v>
      </c>
      <c r="G143" s="400">
        <f t="shared" si="11"/>
        <v>56.858399999999996</v>
      </c>
      <c r="H143" s="400">
        <f>(G143+G144)*'Тарифные ставки'!$B$13</f>
        <v>304.62782400000003</v>
      </c>
      <c r="I143" s="400">
        <f>H143*'Тарифные ставки'!$B$14*'Тарифные ставки'!$B$15</f>
        <v>369.20892268800003</v>
      </c>
      <c r="J143" s="400"/>
      <c r="K143" s="457">
        <v>600.8429610000001</v>
      </c>
      <c r="L143" s="457">
        <f t="shared" si="10"/>
        <v>-38.5515106853353</v>
      </c>
    </row>
    <row r="144" spans="1:12" ht="15.75" hidden="1">
      <c r="A144" s="69"/>
      <c r="B144" s="609"/>
      <c r="C144" s="70"/>
      <c r="D144" s="233" t="s">
        <v>47</v>
      </c>
      <c r="E144" s="399">
        <v>85.02</v>
      </c>
      <c r="F144" s="516">
        <v>0.72</v>
      </c>
      <c r="G144" s="399">
        <f t="shared" si="11"/>
        <v>61.2144</v>
      </c>
      <c r="H144" s="399"/>
      <c r="I144" s="399"/>
      <c r="J144" s="399"/>
      <c r="K144" s="457"/>
      <c r="L144" s="457" t="e">
        <f t="shared" si="10"/>
        <v>#DIV/0!</v>
      </c>
    </row>
    <row r="145" spans="1:12" ht="15.75" hidden="1">
      <c r="A145" s="71" t="s">
        <v>61</v>
      </c>
      <c r="B145" s="608" t="s">
        <v>62</v>
      </c>
      <c r="C145" s="244" t="s">
        <v>799</v>
      </c>
      <c r="D145" s="228" t="s">
        <v>2316</v>
      </c>
      <c r="E145" s="396">
        <v>78.97</v>
      </c>
      <c r="F145" s="511">
        <v>1.3</v>
      </c>
      <c r="G145" s="400">
        <f t="shared" si="11"/>
        <v>102.661</v>
      </c>
      <c r="H145" s="400">
        <f>(G145+G146+G147)*'Тарифные ставки'!$B$13</f>
        <v>814.8878400000001</v>
      </c>
      <c r="I145" s="400">
        <f>H145*'Тарифные ставки'!$B$14*'Тарифные ставки'!$B$15</f>
        <v>987.6440620800001</v>
      </c>
      <c r="J145" s="400"/>
      <c r="K145" s="457">
        <v>1607.27151</v>
      </c>
      <c r="L145" s="457">
        <f t="shared" si="10"/>
        <v>-38.55151068533529</v>
      </c>
    </row>
    <row r="146" spans="1:12" ht="15.75" hidden="1">
      <c r="A146" s="67"/>
      <c r="B146" s="634"/>
      <c r="C146" s="236"/>
      <c r="D146" s="237" t="s">
        <v>2316</v>
      </c>
      <c r="E146" s="396">
        <v>78.97</v>
      </c>
      <c r="F146" s="512">
        <v>1.3</v>
      </c>
      <c r="G146" s="396">
        <f t="shared" si="11"/>
        <v>102.661</v>
      </c>
      <c r="H146" s="396"/>
      <c r="I146" s="396"/>
      <c r="J146" s="396"/>
      <c r="K146" s="457"/>
      <c r="L146" s="457" t="e">
        <f t="shared" si="10"/>
        <v>#DIV/0!</v>
      </c>
    </row>
    <row r="147" spans="1:12" ht="15.75" hidden="1">
      <c r="A147" s="69"/>
      <c r="B147" s="609"/>
      <c r="C147" s="245"/>
      <c r="D147" s="237" t="s">
        <v>47</v>
      </c>
      <c r="E147" s="396">
        <v>85.02</v>
      </c>
      <c r="F147" s="513">
        <v>1.3</v>
      </c>
      <c r="G147" s="399">
        <f t="shared" si="11"/>
        <v>110.526</v>
      </c>
      <c r="H147" s="399"/>
      <c r="I147" s="399"/>
      <c r="J147" s="399"/>
      <c r="K147" s="457"/>
      <c r="L147" s="457" t="e">
        <f t="shared" si="10"/>
        <v>#DIV/0!</v>
      </c>
    </row>
    <row r="148" spans="1:12" ht="15.75" hidden="1">
      <c r="A148" s="71" t="s">
        <v>63</v>
      </c>
      <c r="B148" s="608" t="s">
        <v>64</v>
      </c>
      <c r="C148" s="72" t="s">
        <v>799</v>
      </c>
      <c r="D148" s="228" t="s">
        <v>2316</v>
      </c>
      <c r="E148" s="396">
        <v>78.97</v>
      </c>
      <c r="F148" s="514">
        <v>1.9</v>
      </c>
      <c r="G148" s="400">
        <f t="shared" si="11"/>
        <v>150.04299999999998</v>
      </c>
      <c r="H148" s="400">
        <f>(G148+G149+G150)*'Тарифные ставки'!$B$13</f>
        <v>1190.9899199999998</v>
      </c>
      <c r="I148" s="400">
        <f>H148*'Тарифные ставки'!$B$14*'Тарифные ставки'!$B$15</f>
        <v>1443.4797830399996</v>
      </c>
      <c r="J148" s="400"/>
      <c r="K148" s="457">
        <v>2349.0891299999994</v>
      </c>
      <c r="L148" s="457">
        <f t="shared" si="10"/>
        <v>-38.5515106853353</v>
      </c>
    </row>
    <row r="149" spans="1:12" ht="15.75" hidden="1">
      <c r="A149" s="67"/>
      <c r="B149" s="634"/>
      <c r="C149" s="68"/>
      <c r="D149" s="237" t="s">
        <v>2316</v>
      </c>
      <c r="E149" s="396">
        <v>78.97</v>
      </c>
      <c r="F149" s="515">
        <v>1.9</v>
      </c>
      <c r="G149" s="396">
        <f t="shared" si="11"/>
        <v>150.04299999999998</v>
      </c>
      <c r="H149" s="396"/>
      <c r="I149" s="396"/>
      <c r="J149" s="396"/>
      <c r="K149" s="457"/>
      <c r="L149" s="457" t="e">
        <f t="shared" si="10"/>
        <v>#DIV/0!</v>
      </c>
    </row>
    <row r="150" spans="1:12" ht="15.75" hidden="1">
      <c r="A150" s="67"/>
      <c r="B150" s="634"/>
      <c r="C150" s="68"/>
      <c r="D150" s="237" t="s">
        <v>47</v>
      </c>
      <c r="E150" s="396">
        <v>85.02</v>
      </c>
      <c r="F150" s="515">
        <v>1.9</v>
      </c>
      <c r="G150" s="396">
        <f t="shared" si="11"/>
        <v>161.53799999999998</v>
      </c>
      <c r="H150" s="396"/>
      <c r="I150" s="396"/>
      <c r="J150" s="396"/>
      <c r="K150" s="457"/>
      <c r="L150" s="457" t="e">
        <f t="shared" si="10"/>
        <v>#DIV/0!</v>
      </c>
    </row>
    <row r="151" spans="1:12" ht="31.5">
      <c r="A151" s="73" t="s">
        <v>65</v>
      </c>
      <c r="B151" s="39" t="s">
        <v>66</v>
      </c>
      <c r="C151" s="74" t="s">
        <v>799</v>
      </c>
      <c r="D151" s="234" t="s">
        <v>2316</v>
      </c>
      <c r="E151" s="398">
        <f>'Тарифные ставки'!$B$5</f>
        <v>137.4825</v>
      </c>
      <c r="F151" s="510">
        <v>2.3</v>
      </c>
      <c r="G151" s="398">
        <f t="shared" si="11"/>
        <v>316.20974999999993</v>
      </c>
      <c r="H151" s="398">
        <f>G151*'Тарифные ставки'!$B$13</f>
        <v>815.8211549999999</v>
      </c>
      <c r="I151" s="398">
        <f>H151*'Тарифные ставки'!$B$14*'Тарифные ставки'!$B$15</f>
        <v>988.7752398599998</v>
      </c>
      <c r="J151" s="398">
        <f>I151-I151/'Тарифные ставки'!$B$15</f>
        <v>164.79587330999993</v>
      </c>
      <c r="K151" s="491">
        <v>924.2747512499999</v>
      </c>
      <c r="L151" s="491">
        <f t="shared" si="10"/>
        <v>6.978497305348739</v>
      </c>
    </row>
    <row r="152" spans="1:12" ht="15.75">
      <c r="A152" s="71" t="s">
        <v>67</v>
      </c>
      <c r="B152" s="11" t="s">
        <v>68</v>
      </c>
      <c r="C152" s="72" t="s">
        <v>799</v>
      </c>
      <c r="D152" s="228" t="s">
        <v>2316</v>
      </c>
      <c r="E152" s="400">
        <f>'Тарифные ставки'!$B$5</f>
        <v>137.4825</v>
      </c>
      <c r="F152" s="514">
        <v>1.57</v>
      </c>
      <c r="G152" s="400">
        <f t="shared" si="11"/>
        <v>215.847525</v>
      </c>
      <c r="H152" s="400">
        <f>(G152+G153)*'Тарифные ставки'!$B$13</f>
        <v>1157.0478141</v>
      </c>
      <c r="I152" s="400">
        <f>H152*'Тарифные ставки'!$B$14*'Тарифные ставки'!$B$15</f>
        <v>1402.3419506892</v>
      </c>
      <c r="J152" s="400">
        <f>I152-I152/'Тарифные ставки'!$B$15</f>
        <v>233.7236584482</v>
      </c>
      <c r="K152" s="450">
        <v>1310.171456625</v>
      </c>
      <c r="L152" s="450">
        <f t="shared" si="10"/>
        <v>7.034994816757134</v>
      </c>
    </row>
    <row r="153" spans="1:12" ht="15.75">
      <c r="A153" s="69"/>
      <c r="B153" s="30"/>
      <c r="C153" s="70"/>
      <c r="D153" s="233" t="s">
        <v>47</v>
      </c>
      <c r="E153" s="399">
        <f>'Тарифные ставки'!$B$6</f>
        <v>148.166</v>
      </c>
      <c r="F153" s="516">
        <v>1.57</v>
      </c>
      <c r="G153" s="399">
        <f t="shared" si="11"/>
        <v>232.62062</v>
      </c>
      <c r="H153" s="399"/>
      <c r="I153" s="399"/>
      <c r="J153" s="399"/>
      <c r="K153" s="490"/>
      <c r="L153" s="490"/>
    </row>
    <row r="154" spans="1:10" ht="15.75" hidden="1">
      <c r="A154" s="73" t="s">
        <v>72</v>
      </c>
      <c r="B154" s="39" t="s">
        <v>73</v>
      </c>
      <c r="C154" s="74" t="s">
        <v>74</v>
      </c>
      <c r="D154" s="234" t="s">
        <v>2316</v>
      </c>
      <c r="E154" s="396">
        <v>78.97</v>
      </c>
      <c r="F154" s="510">
        <v>0.6</v>
      </c>
      <c r="G154" s="398">
        <f t="shared" si="11"/>
        <v>47.382</v>
      </c>
      <c r="H154" s="398">
        <f>G154*'Тарифные ставки'!$B$13</f>
        <v>122.24556</v>
      </c>
      <c r="I154" s="398">
        <f>H154*1.12*1.18</f>
        <v>161.55973209599998</v>
      </c>
      <c r="J154" s="398"/>
    </row>
    <row r="155" spans="2:6" ht="15.75">
      <c r="B155" s="6"/>
      <c r="F155" s="376"/>
    </row>
    <row r="156" spans="1:10" ht="15.75">
      <c r="A156" s="689" t="s">
        <v>2357</v>
      </c>
      <c r="B156" s="689"/>
      <c r="C156" s="689"/>
      <c r="D156" s="689"/>
      <c r="E156" s="689"/>
      <c r="F156" s="689"/>
      <c r="G156" s="689"/>
      <c r="H156" s="689"/>
      <c r="I156" s="689"/>
      <c r="J156" s="690"/>
    </row>
    <row r="157" spans="1:9" ht="15.75">
      <c r="A157" s="311"/>
      <c r="B157" s="311"/>
      <c r="C157" s="311"/>
      <c r="D157" s="311"/>
      <c r="E157" s="413"/>
      <c r="F157" s="413"/>
      <c r="G157" s="413"/>
      <c r="H157" s="413"/>
      <c r="I157" s="413"/>
    </row>
    <row r="158" spans="1:10" ht="70.5" customHeight="1">
      <c r="A158" s="328" t="s">
        <v>83</v>
      </c>
      <c r="B158" s="313" t="s">
        <v>82</v>
      </c>
      <c r="C158" s="313" t="s">
        <v>77</v>
      </c>
      <c r="D158" s="313" t="s">
        <v>81</v>
      </c>
      <c r="E158" s="393" t="s">
        <v>85</v>
      </c>
      <c r="F158" s="393" t="s">
        <v>78</v>
      </c>
      <c r="G158" s="393" t="s">
        <v>79</v>
      </c>
      <c r="H158" s="393" t="s">
        <v>80</v>
      </c>
      <c r="I158" s="394" t="s">
        <v>843</v>
      </c>
      <c r="J158" s="394" t="s">
        <v>2349</v>
      </c>
    </row>
    <row r="159" spans="1:10" ht="15.75" hidden="1">
      <c r="A159" s="93" t="s">
        <v>2329</v>
      </c>
      <c r="B159" s="93" t="s">
        <v>2330</v>
      </c>
      <c r="C159" s="269" t="s">
        <v>894</v>
      </c>
      <c r="D159" s="270" t="s">
        <v>2315</v>
      </c>
      <c r="E159" s="410">
        <v>123.85</v>
      </c>
      <c r="F159" s="426">
        <v>6</v>
      </c>
      <c r="G159" s="383">
        <f>E159*F159</f>
        <v>743.0999999999999</v>
      </c>
      <c r="H159" s="383">
        <f>G159*'Тарифные ставки'!$B$13</f>
        <v>1917.1979999999999</v>
      </c>
      <c r="I159" s="383">
        <f>H159*'Тарифные ставки'!$B$14*'Тарифные ставки'!$B$15</f>
        <v>2323.643976</v>
      </c>
      <c r="J159" s="398">
        <f aca="true" t="shared" si="12" ref="J159:J168">H159*1.1*0.18</f>
        <v>379.605204</v>
      </c>
    </row>
    <row r="160" spans="1:10" ht="15.75" hidden="1">
      <c r="A160" s="93" t="s">
        <v>2331</v>
      </c>
      <c r="B160" s="271" t="s">
        <v>2332</v>
      </c>
      <c r="C160" s="93" t="s">
        <v>894</v>
      </c>
      <c r="D160" s="270" t="s">
        <v>2315</v>
      </c>
      <c r="E160" s="410">
        <v>123.85</v>
      </c>
      <c r="F160" s="426">
        <v>2</v>
      </c>
      <c r="G160" s="383">
        <f aca="true" t="shared" si="13" ref="G160:G178">E160*F160</f>
        <v>247.7</v>
      </c>
      <c r="H160" s="383">
        <f>G160*'Тарифные ставки'!$B$13</f>
        <v>639.066</v>
      </c>
      <c r="I160" s="383">
        <f>H160*'Тарифные ставки'!$B$14*'Тарифные ставки'!$B$15</f>
        <v>774.547992</v>
      </c>
      <c r="J160" s="398">
        <f t="shared" si="12"/>
        <v>126.53506800000001</v>
      </c>
    </row>
    <row r="161" spans="1:10" ht="31.5" hidden="1">
      <c r="A161" s="93" t="s">
        <v>2334</v>
      </c>
      <c r="B161" s="271" t="s">
        <v>2333</v>
      </c>
      <c r="C161" s="93" t="s">
        <v>894</v>
      </c>
      <c r="D161" s="270" t="s">
        <v>2315</v>
      </c>
      <c r="E161" s="410">
        <v>123.85</v>
      </c>
      <c r="F161" s="426">
        <v>2</v>
      </c>
      <c r="G161" s="383">
        <f t="shared" si="13"/>
        <v>247.7</v>
      </c>
      <c r="H161" s="383">
        <f>G161*'Тарифные ставки'!$B$13</f>
        <v>639.066</v>
      </c>
      <c r="I161" s="383">
        <f>H161*'Тарифные ставки'!$B$14*'Тарифные ставки'!$B$15</f>
        <v>774.547992</v>
      </c>
      <c r="J161" s="398">
        <f t="shared" si="12"/>
        <v>126.53506800000001</v>
      </c>
    </row>
    <row r="162" spans="1:10" ht="31.5" hidden="1">
      <c r="A162" s="93" t="s">
        <v>2335</v>
      </c>
      <c r="B162" s="271" t="s">
        <v>2336</v>
      </c>
      <c r="C162" s="93" t="s">
        <v>894</v>
      </c>
      <c r="D162" s="270" t="s">
        <v>2315</v>
      </c>
      <c r="E162" s="410">
        <v>123.85</v>
      </c>
      <c r="F162" s="426">
        <v>2</v>
      </c>
      <c r="G162" s="383">
        <f t="shared" si="13"/>
        <v>247.7</v>
      </c>
      <c r="H162" s="383">
        <f>G162*'Тарифные ставки'!$B$13</f>
        <v>639.066</v>
      </c>
      <c r="I162" s="383">
        <f>H162*'Тарифные ставки'!$B$14*'Тарифные ставки'!$B$15</f>
        <v>774.547992</v>
      </c>
      <c r="J162" s="398">
        <f t="shared" si="12"/>
        <v>126.53506800000001</v>
      </c>
    </row>
    <row r="163" spans="1:10" ht="15.75" hidden="1">
      <c r="A163" s="93" t="s">
        <v>2337</v>
      </c>
      <c r="B163" s="271" t="s">
        <v>2338</v>
      </c>
      <c r="C163" s="93" t="s">
        <v>894</v>
      </c>
      <c r="D163" s="270" t="s">
        <v>2315</v>
      </c>
      <c r="E163" s="410">
        <v>123.85</v>
      </c>
      <c r="F163" s="426">
        <v>1</v>
      </c>
      <c r="G163" s="383">
        <f t="shared" si="13"/>
        <v>123.85</v>
      </c>
      <c r="H163" s="383">
        <f>G163*'Тарифные ставки'!$B$13</f>
        <v>319.533</v>
      </c>
      <c r="I163" s="383">
        <f>H163*'Тарифные ставки'!$B$14*'Тарифные ставки'!$B$15</f>
        <v>387.273996</v>
      </c>
      <c r="J163" s="398">
        <f t="shared" si="12"/>
        <v>63.267534000000005</v>
      </c>
    </row>
    <row r="164" spans="1:10" ht="31.5" hidden="1">
      <c r="A164" s="93" t="s">
        <v>2339</v>
      </c>
      <c r="B164" s="271" t="s">
        <v>2340</v>
      </c>
      <c r="C164" s="93" t="s">
        <v>894</v>
      </c>
      <c r="D164" s="270" t="s">
        <v>2315</v>
      </c>
      <c r="E164" s="410">
        <v>123.85</v>
      </c>
      <c r="F164" s="426">
        <v>1</v>
      </c>
      <c r="G164" s="383">
        <f t="shared" si="13"/>
        <v>123.85</v>
      </c>
      <c r="H164" s="383">
        <f>G164*'Тарифные ставки'!$B$13</f>
        <v>319.533</v>
      </c>
      <c r="I164" s="383">
        <f>H164*'Тарифные ставки'!$B$14*'Тарифные ставки'!$B$15</f>
        <v>387.273996</v>
      </c>
      <c r="J164" s="398">
        <f t="shared" si="12"/>
        <v>63.267534000000005</v>
      </c>
    </row>
    <row r="165" spans="1:10" ht="15.75" hidden="1">
      <c r="A165" s="93" t="s">
        <v>2341</v>
      </c>
      <c r="B165" s="271" t="s">
        <v>2343</v>
      </c>
      <c r="C165" s="93" t="s">
        <v>894</v>
      </c>
      <c r="D165" s="270" t="s">
        <v>2315</v>
      </c>
      <c r="E165" s="410">
        <v>123.85</v>
      </c>
      <c r="F165" s="426">
        <v>1</v>
      </c>
      <c r="G165" s="383">
        <f t="shared" si="13"/>
        <v>123.85</v>
      </c>
      <c r="H165" s="383">
        <f>G165*'Тарифные ставки'!$B$13</f>
        <v>319.533</v>
      </c>
      <c r="I165" s="383">
        <f>H165*'Тарифные ставки'!$B$14*'Тарифные ставки'!$B$15</f>
        <v>387.273996</v>
      </c>
      <c r="J165" s="398">
        <f t="shared" si="12"/>
        <v>63.267534000000005</v>
      </c>
    </row>
    <row r="166" spans="1:10" ht="63" hidden="1">
      <c r="A166" s="93" t="s">
        <v>2342</v>
      </c>
      <c r="B166" s="271" t="s">
        <v>2344</v>
      </c>
      <c r="C166" s="93" t="s">
        <v>894</v>
      </c>
      <c r="D166" s="270" t="s">
        <v>2315</v>
      </c>
      <c r="E166" s="410">
        <v>123.85</v>
      </c>
      <c r="F166" s="426">
        <v>12</v>
      </c>
      <c r="G166" s="383">
        <f t="shared" si="13"/>
        <v>1486.1999999999998</v>
      </c>
      <c r="H166" s="383">
        <f>G166*'Тарифные ставки'!$B$13</f>
        <v>3834.3959999999997</v>
      </c>
      <c r="I166" s="383">
        <f>H166*'Тарифные ставки'!$B$14*'Тарифные ставки'!$B$15</f>
        <v>4647.287952</v>
      </c>
      <c r="J166" s="398">
        <f t="shared" si="12"/>
        <v>759.210408</v>
      </c>
    </row>
    <row r="167" spans="1:10" ht="47.25" hidden="1">
      <c r="A167" s="93" t="s">
        <v>2345</v>
      </c>
      <c r="B167" s="271" t="s">
        <v>389</v>
      </c>
      <c r="C167" s="93" t="s">
        <v>894</v>
      </c>
      <c r="D167" s="270" t="s">
        <v>2315</v>
      </c>
      <c r="E167" s="410">
        <v>123.85</v>
      </c>
      <c r="F167" s="426">
        <v>4</v>
      </c>
      <c r="G167" s="383">
        <f t="shared" si="13"/>
        <v>495.4</v>
      </c>
      <c r="H167" s="383">
        <f>G167*'Тарифные ставки'!$B$13</f>
        <v>1278.132</v>
      </c>
      <c r="I167" s="383">
        <f>H167*'Тарифные ставки'!$B$14*'Тарифные ставки'!$B$15</f>
        <v>1549.095984</v>
      </c>
      <c r="J167" s="398">
        <f t="shared" si="12"/>
        <v>253.07013600000002</v>
      </c>
    </row>
    <row r="168" spans="1:10" ht="31.5" hidden="1">
      <c r="A168" s="93" t="s">
        <v>2346</v>
      </c>
      <c r="B168" s="271" t="s">
        <v>390</v>
      </c>
      <c r="C168" s="93" t="s">
        <v>894</v>
      </c>
      <c r="D168" s="270" t="s">
        <v>2315</v>
      </c>
      <c r="E168" s="410">
        <v>123.85</v>
      </c>
      <c r="F168" s="426">
        <v>24</v>
      </c>
      <c r="G168" s="383">
        <f t="shared" si="13"/>
        <v>2972.3999999999996</v>
      </c>
      <c r="H168" s="383">
        <f>G168*'Тарифные ставки'!$B$13</f>
        <v>7668.7919999999995</v>
      </c>
      <c r="I168" s="383">
        <f>H168*'Тарифные ставки'!$B$14*'Тарифные ставки'!$B$15</f>
        <v>9294.575904</v>
      </c>
      <c r="J168" s="398">
        <f t="shared" si="12"/>
        <v>1518.420816</v>
      </c>
    </row>
    <row r="169" spans="1:12" ht="15.75">
      <c r="A169" s="93" t="s">
        <v>391</v>
      </c>
      <c r="B169" s="93" t="s">
        <v>2330</v>
      </c>
      <c r="C169" s="269" t="s">
        <v>904</v>
      </c>
      <c r="D169" s="270" t="s">
        <v>2315</v>
      </c>
      <c r="E169" s="520">
        <f>'Тарифные ставки'!$B$9</f>
        <v>184.069</v>
      </c>
      <c r="F169" s="427">
        <v>3</v>
      </c>
      <c r="G169" s="427">
        <f t="shared" si="13"/>
        <v>552.207</v>
      </c>
      <c r="H169" s="427">
        <f>G169*'Тарифные ставки'!$B$13</f>
        <v>1424.69406</v>
      </c>
      <c r="I169" s="427">
        <f>H169*'Тарифные ставки'!$B$14*'Тарифные ставки'!$B$15</f>
        <v>1726.72920072</v>
      </c>
      <c r="J169" s="398">
        <f>I169-I169/'Тарифные ставки'!$B$15</f>
        <v>287.78820012000006</v>
      </c>
      <c r="K169" s="491">
        <v>1890.7250624999997</v>
      </c>
      <c r="L169" s="491">
        <f aca="true" t="shared" si="14" ref="L169:L178">I169/K169*100-100</f>
        <v>-8.673702223164952</v>
      </c>
    </row>
    <row r="170" spans="1:12" ht="15.75">
      <c r="A170" s="93" t="s">
        <v>392</v>
      </c>
      <c r="B170" s="271" t="s">
        <v>2332</v>
      </c>
      <c r="C170" s="93" t="s">
        <v>904</v>
      </c>
      <c r="D170" s="270" t="s">
        <v>2315</v>
      </c>
      <c r="E170" s="520">
        <f>'Тарифные ставки'!$B$9</f>
        <v>184.069</v>
      </c>
      <c r="F170" s="427">
        <v>1</v>
      </c>
      <c r="G170" s="427">
        <f t="shared" si="13"/>
        <v>184.069</v>
      </c>
      <c r="H170" s="427">
        <f>G170*'Тарифные ставки'!$B$13</f>
        <v>474.89802</v>
      </c>
      <c r="I170" s="427">
        <f>H170*'Тарифные ставки'!$B$14*'Тарифные ставки'!$B$15</f>
        <v>575.57640024</v>
      </c>
      <c r="J170" s="398">
        <f>I170-I170/'Тарифные ставки'!$B$15</f>
        <v>95.92940003999996</v>
      </c>
      <c r="K170" s="491">
        <v>630.2416875000001</v>
      </c>
      <c r="L170" s="491">
        <f t="shared" si="14"/>
        <v>-8.673702223165009</v>
      </c>
    </row>
    <row r="171" spans="1:12" ht="31.5">
      <c r="A171" s="93" t="s">
        <v>393</v>
      </c>
      <c r="B171" s="271" t="s">
        <v>2333</v>
      </c>
      <c r="C171" s="93" t="s">
        <v>904</v>
      </c>
      <c r="D171" s="270" t="s">
        <v>2315</v>
      </c>
      <c r="E171" s="520">
        <f>'Тарифные ставки'!$B$9</f>
        <v>184.069</v>
      </c>
      <c r="F171" s="427">
        <v>1</v>
      </c>
      <c r="G171" s="427">
        <f t="shared" si="13"/>
        <v>184.069</v>
      </c>
      <c r="H171" s="427">
        <f>G171*'Тарифные ставки'!$B$13</f>
        <v>474.89802</v>
      </c>
      <c r="I171" s="427">
        <f>H171*'Тарифные ставки'!$B$14*'Тарифные ставки'!$B$15</f>
        <v>575.57640024</v>
      </c>
      <c r="J171" s="398">
        <f>I171-I171/'Тарифные ставки'!$B$15</f>
        <v>95.92940003999996</v>
      </c>
      <c r="K171" s="491">
        <v>630.2416875000001</v>
      </c>
      <c r="L171" s="491">
        <f t="shared" si="14"/>
        <v>-8.673702223165009</v>
      </c>
    </row>
    <row r="172" spans="1:12" ht="31.5">
      <c r="A172" s="93" t="s">
        <v>394</v>
      </c>
      <c r="B172" s="271" t="s">
        <v>2413</v>
      </c>
      <c r="C172" s="93" t="s">
        <v>904</v>
      </c>
      <c r="D172" s="270" t="s">
        <v>2315</v>
      </c>
      <c r="E172" s="520">
        <f>'Тарифные ставки'!$B$9</f>
        <v>184.069</v>
      </c>
      <c r="F172" s="427">
        <v>1</v>
      </c>
      <c r="G172" s="427">
        <f t="shared" si="13"/>
        <v>184.069</v>
      </c>
      <c r="H172" s="427">
        <f>G172*'Тарифные ставки'!$B$13</f>
        <v>474.89802</v>
      </c>
      <c r="I172" s="427">
        <f>H172*'Тарифные ставки'!$B$14*'Тарифные ставки'!$B$15</f>
        <v>575.57640024</v>
      </c>
      <c r="J172" s="398">
        <f>I172-I172/'Тарифные ставки'!$B$15</f>
        <v>95.92940003999996</v>
      </c>
      <c r="K172" s="491">
        <v>630.2416875000001</v>
      </c>
      <c r="L172" s="491">
        <f t="shared" si="14"/>
        <v>-8.673702223165009</v>
      </c>
    </row>
    <row r="173" spans="1:12" ht="15.75">
      <c r="A173" s="93" t="s">
        <v>395</v>
      </c>
      <c r="B173" s="271" t="s">
        <v>2338</v>
      </c>
      <c r="C173" s="93" t="s">
        <v>904</v>
      </c>
      <c r="D173" s="270" t="s">
        <v>2315</v>
      </c>
      <c r="E173" s="520">
        <f>'Тарифные ставки'!$B$9</f>
        <v>184.069</v>
      </c>
      <c r="F173" s="427">
        <v>0.5</v>
      </c>
      <c r="G173" s="427">
        <f t="shared" si="13"/>
        <v>92.0345</v>
      </c>
      <c r="H173" s="427">
        <f>G173*'Тарифные ставки'!$B$13</f>
        <v>237.44901</v>
      </c>
      <c r="I173" s="427">
        <f>H173*'Тарифные ставки'!$B$14*'Тарифные ставки'!$B$15</f>
        <v>287.78820012</v>
      </c>
      <c r="J173" s="398">
        <f>I173-I173/'Тарифные ставки'!$B$15</f>
        <v>47.96470001999998</v>
      </c>
      <c r="K173" s="491">
        <v>315.12084375000006</v>
      </c>
      <c r="L173" s="491">
        <f t="shared" si="14"/>
        <v>-8.673702223165009</v>
      </c>
    </row>
    <row r="174" spans="1:12" ht="31.5">
      <c r="A174" s="93" t="s">
        <v>396</v>
      </c>
      <c r="B174" s="271" t="s">
        <v>2340</v>
      </c>
      <c r="C174" s="93" t="s">
        <v>904</v>
      </c>
      <c r="D174" s="270" t="s">
        <v>2315</v>
      </c>
      <c r="E174" s="520">
        <f>'Тарифные ставки'!$B$9</f>
        <v>184.069</v>
      </c>
      <c r="F174" s="427">
        <v>0.5</v>
      </c>
      <c r="G174" s="427">
        <f t="shared" si="13"/>
        <v>92.0345</v>
      </c>
      <c r="H174" s="427">
        <f>G174*'Тарифные ставки'!$B$13</f>
        <v>237.44901</v>
      </c>
      <c r="I174" s="427">
        <f>H174*'Тарифные ставки'!$B$14*'Тарифные ставки'!$B$15</f>
        <v>287.78820012</v>
      </c>
      <c r="J174" s="398">
        <f>I174-I174/'Тарифные ставки'!$B$15</f>
        <v>47.96470001999998</v>
      </c>
      <c r="K174" s="491">
        <v>315.12084375000006</v>
      </c>
      <c r="L174" s="491">
        <f t="shared" si="14"/>
        <v>-8.673702223165009</v>
      </c>
    </row>
    <row r="175" spans="1:12" ht="15.75">
      <c r="A175" s="93" t="s">
        <v>398</v>
      </c>
      <c r="B175" s="271" t="s">
        <v>2343</v>
      </c>
      <c r="C175" s="93" t="s">
        <v>904</v>
      </c>
      <c r="D175" s="270" t="s">
        <v>2315</v>
      </c>
      <c r="E175" s="520">
        <f>'Тарифные ставки'!$B$9</f>
        <v>184.069</v>
      </c>
      <c r="F175" s="427">
        <v>0.5</v>
      </c>
      <c r="G175" s="427">
        <f t="shared" si="13"/>
        <v>92.0345</v>
      </c>
      <c r="H175" s="427">
        <f>G175*'Тарифные ставки'!$B$13</f>
        <v>237.44901</v>
      </c>
      <c r="I175" s="427">
        <f>H175*'Тарифные ставки'!$B$14*'Тарифные ставки'!$B$15</f>
        <v>287.78820012</v>
      </c>
      <c r="J175" s="398">
        <f>I175-I175/'Тарифные ставки'!$B$15</f>
        <v>47.96470001999998</v>
      </c>
      <c r="K175" s="491">
        <v>315.12084375000006</v>
      </c>
      <c r="L175" s="491">
        <f t="shared" si="14"/>
        <v>-8.673702223165009</v>
      </c>
    </row>
    <row r="176" spans="1:12" ht="63" hidden="1">
      <c r="A176" s="93" t="s">
        <v>399</v>
      </c>
      <c r="B176" s="271" t="s">
        <v>2344</v>
      </c>
      <c r="C176" s="93" t="s">
        <v>904</v>
      </c>
      <c r="D176" s="270" t="s">
        <v>2315</v>
      </c>
      <c r="E176" s="520">
        <f>'Тарифные ставки'!$B$9</f>
        <v>184.069</v>
      </c>
      <c r="F176" s="427">
        <v>6</v>
      </c>
      <c r="G176" s="427">
        <f t="shared" si="13"/>
        <v>1104.414</v>
      </c>
      <c r="H176" s="427">
        <f>G176*'Тарифные ставки'!$B$13</f>
        <v>2849.38812</v>
      </c>
      <c r="I176" s="427">
        <f>H176*'Тарифные ставки'!$B$14*'Тарифные ставки'!$B$15</f>
        <v>3453.45840144</v>
      </c>
      <c r="J176" s="398">
        <f>I176-I176/'Тарифные ставки'!$B$15</f>
        <v>575.5764002400001</v>
      </c>
      <c r="K176" s="491">
        <v>3781.4501249999994</v>
      </c>
      <c r="L176" s="491">
        <f t="shared" si="14"/>
        <v>-8.673702223164952</v>
      </c>
    </row>
    <row r="177" spans="1:12" ht="47.25" hidden="1">
      <c r="A177" s="93" t="s">
        <v>400</v>
      </c>
      <c r="B177" s="271" t="s">
        <v>389</v>
      </c>
      <c r="C177" s="93" t="s">
        <v>904</v>
      </c>
      <c r="D177" s="270" t="s">
        <v>2315</v>
      </c>
      <c r="E177" s="520">
        <f>'Тарифные ставки'!$B$9</f>
        <v>184.069</v>
      </c>
      <c r="F177" s="427">
        <v>2</v>
      </c>
      <c r="G177" s="427">
        <f t="shared" si="13"/>
        <v>368.138</v>
      </c>
      <c r="H177" s="427">
        <f>G177*'Тарифные ставки'!$B$13</f>
        <v>949.79604</v>
      </c>
      <c r="I177" s="427">
        <f>H177*'Тарифные ставки'!$B$14*'Тарифные ставки'!$B$15</f>
        <v>1151.15280048</v>
      </c>
      <c r="J177" s="398">
        <f>I177-I177/'Тарифные ставки'!$B$15</f>
        <v>191.85880007999992</v>
      </c>
      <c r="K177" s="491">
        <v>1260.4833750000003</v>
      </c>
      <c r="L177" s="491">
        <f t="shared" si="14"/>
        <v>-8.673702223165009</v>
      </c>
    </row>
    <row r="178" spans="1:12" ht="31.5" hidden="1">
      <c r="A178" s="93" t="s">
        <v>401</v>
      </c>
      <c r="B178" s="271" t="s">
        <v>397</v>
      </c>
      <c r="C178" s="93" t="s">
        <v>904</v>
      </c>
      <c r="D178" s="270" t="s">
        <v>2315</v>
      </c>
      <c r="E178" s="520">
        <f>'Тарифные ставки'!$B$9</f>
        <v>184.069</v>
      </c>
      <c r="F178" s="427">
        <v>18</v>
      </c>
      <c r="G178" s="427">
        <f t="shared" si="13"/>
        <v>3313.2419999999997</v>
      </c>
      <c r="H178" s="427">
        <f>G178*'Тарифные ставки'!$B$13</f>
        <v>8548.164359999999</v>
      </c>
      <c r="I178" s="427">
        <f>H178*'Тарифные ставки'!$B$14*'Тарифные ставки'!$B$15</f>
        <v>10360.375204319998</v>
      </c>
      <c r="J178" s="398">
        <f>I178-I178/'Тарифные ставки'!$B$15</f>
        <v>1726.7292007199994</v>
      </c>
      <c r="K178" s="491">
        <v>11344.350374999998</v>
      </c>
      <c r="L178" s="491">
        <f t="shared" si="14"/>
        <v>-8.67370222316498</v>
      </c>
    </row>
    <row r="179" ht="15.75">
      <c r="B179" s="6"/>
    </row>
    <row r="180" ht="15.75">
      <c r="B180" s="6"/>
    </row>
    <row r="181" ht="15.75">
      <c r="B181" s="6"/>
    </row>
    <row r="182" ht="15.75">
      <c r="B182" s="6"/>
    </row>
    <row r="183" ht="15.75">
      <c r="B183" s="6"/>
    </row>
    <row r="184" ht="15.75">
      <c r="B184" s="6"/>
    </row>
    <row r="185" ht="15.75">
      <c r="B185" s="6"/>
    </row>
    <row r="186" ht="15.75">
      <c r="B186" s="6"/>
    </row>
    <row r="187" ht="15.75">
      <c r="B187" s="6"/>
    </row>
    <row r="188" ht="15.75">
      <c r="B188" s="6"/>
    </row>
    <row r="189" ht="15.75">
      <c r="B189" s="6"/>
    </row>
    <row r="190" ht="15.75">
      <c r="B190" s="6"/>
    </row>
  </sheetData>
  <sheetProtection/>
  <mergeCells count="20">
    <mergeCell ref="A156:J156"/>
    <mergeCell ref="B148:B150"/>
    <mergeCell ref="B49:B50"/>
    <mergeCell ref="A1:J1"/>
    <mergeCell ref="A2:J2"/>
    <mergeCell ref="A4:J4"/>
    <mergeCell ref="B41:B42"/>
    <mergeCell ref="A13:J13"/>
    <mergeCell ref="A15:I15"/>
    <mergeCell ref="B17:B19"/>
    <mergeCell ref="B143:B144"/>
    <mergeCell ref="B145:B147"/>
    <mergeCell ref="B23:B25"/>
    <mergeCell ref="B43:B44"/>
    <mergeCell ref="B141:B142"/>
    <mergeCell ref="A80:I80"/>
    <mergeCell ref="B30:B31"/>
    <mergeCell ref="B33:B35"/>
    <mergeCell ref="B37:B38"/>
    <mergeCell ref="B39:B40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9" r:id="rId1"/>
  <rowBreaks count="1" manualBreakCount="1"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Газовые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user17</dc:creator>
  <cp:keywords/>
  <dc:description/>
  <cp:lastModifiedBy>1</cp:lastModifiedBy>
  <cp:lastPrinted>2019-11-27T06:04:22Z</cp:lastPrinted>
  <dcterms:created xsi:type="dcterms:W3CDTF">2007-09-20T09:21:44Z</dcterms:created>
  <dcterms:modified xsi:type="dcterms:W3CDTF">2020-02-28T08:40:30Z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